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LfL\OrgEinheiten\IBA\Projekte\THGMODELL\A_Klimacheck\Klima-Check Programm\Produktionsverfahren\Tierhaltung\Rinder\Milchkuhhaltung\Fütterung\"/>
    </mc:Choice>
  </mc:AlternateContent>
  <xr:revisionPtr revIDLastSave="0" documentId="13_ncr:1_{85A4086B-261A-4D08-AED0-0760880FDC13}" xr6:coauthVersionLast="47" xr6:coauthVersionMax="47" xr10:uidLastSave="{00000000-0000-0000-0000-000000000000}"/>
  <bookViews>
    <workbookView xWindow="-108" yWindow="-108" windowWidth="30936" windowHeight="16776" firstSheet="1" activeTab="1" xr2:uid="{00000000-000D-0000-FFFF-FFFF00000000}"/>
  </bookViews>
  <sheets>
    <sheet name="Tabelle1" sheetId="1" state="hidden" r:id="rId1"/>
    <sheet name="Berechnung Durchschnittsration" sheetId="3" r:id="rId2"/>
  </sheets>
  <definedNames>
    <definedName name="altmelkerTage">'Berechnung Durchschnittsration'!$E$13</definedName>
    <definedName name="avgLebendGewicht">'Berechnung Durchschnittsration'!$B$9</definedName>
    <definedName name="eiweissGehalt">'Berechnung Durchschnittsration'!$B$7</definedName>
    <definedName name="energieBedarfErhaltung">'Berechnung Durchschnittsration'!$G$3</definedName>
    <definedName name="energieBedarfGesamt">'Berechnung Durchschnittsration'!$G$6</definedName>
    <definedName name="energieBedarfGrobFutter">'Berechnung Durchschnittsration'!$D$52</definedName>
    <definedName name="energieBedarfGrobFutterMitZuschlag">'Berechnung Durchschnittsration'!$E$70</definedName>
    <definedName name="energieBedarfLeistung">'Berechnung Durchschnittsration'!$G$5</definedName>
    <definedName name="energieBedarfRepro">'Berechnung Durchschnittsration'!$G$4</definedName>
    <definedName name="energieKraftMineralFutter">'Berechnung Durchschnittsration'!$G$41</definedName>
    <definedName name="energieSaftFutter">'Berechnung Durchschnittsration'!$G$44</definedName>
    <definedName name="fettGehalt">'Berechnung Durchschnittsration'!$B$8</definedName>
    <definedName name="hochLeistungsTage">'Berechnung Durchschnittsration'!$D$13</definedName>
    <definedName name="Konst_NEL_Biertreber">'Berechnung Durchschnittsration'!$O$6</definedName>
    <definedName name="Konst_NEL_Kartoffelpülpe">'Berechnung Durchschnittsration'!$O$8</definedName>
    <definedName name="Konst_NEL_Pressschnitzel">'Berechnung Durchschnittsration'!$O$7</definedName>
    <definedName name="Konst_TM_Biertreber">'Berechnung Durchschnittsration'!$P$6</definedName>
    <definedName name="Konst_TM_Kartoffelpülpe">'Berechnung Durchschnittsration'!$P$8</definedName>
    <definedName name="Konst_TM_Pressschnitzel">'Berechnung Durchschnittsration'!$P$7</definedName>
    <definedName name="laktationsTage">'Berechnung Durchschnittsration'!$B$5</definedName>
    <definedName name="milchLeistung">'Berechnung Durchschnittsration'!$B$6</definedName>
    <definedName name="starterTage">'Berechnung Durchschnittsration'!$C$13</definedName>
    <definedName name="trockenStehTage">'Berechnung Durchschnittsration'!$B$4</definedName>
    <definedName name="zwischenKalbeTage">'Berechnung Durchschnittsration'!$B$3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3" l="1"/>
  <c r="G3" i="3"/>
  <c r="B5" i="3"/>
  <c r="D13" i="3" s="1"/>
  <c r="F44" i="3" s="1"/>
  <c r="B13" i="3"/>
  <c r="E55" i="3"/>
  <c r="G5" i="3"/>
  <c r="F58" i="3" l="1"/>
  <c r="F57" i="3"/>
  <c r="D51" i="3"/>
  <c r="F23" i="3"/>
  <c r="F16" i="3"/>
  <c r="G16" i="3" s="1"/>
  <c r="F33" i="3"/>
  <c r="F28" i="3"/>
  <c r="F20" i="3"/>
  <c r="F37" i="3"/>
  <c r="F35" i="3"/>
  <c r="F30" i="3"/>
  <c r="F22" i="3"/>
  <c r="F27" i="3"/>
  <c r="F19" i="3"/>
  <c r="F40" i="3"/>
  <c r="F29" i="3"/>
  <c r="F21" i="3"/>
  <c r="F26" i="3"/>
  <c r="F18" i="3"/>
  <c r="F39" i="3"/>
  <c r="F34" i="3"/>
  <c r="F25" i="3"/>
  <c r="F17" i="3"/>
  <c r="F38" i="3"/>
  <c r="F24" i="3"/>
  <c r="F32" i="3"/>
  <c r="F59" i="3"/>
  <c r="L19" i="3" l="1"/>
  <c r="G6" i="3"/>
  <c r="G44" i="3" l="1"/>
  <c r="E41" i="3" l="1"/>
  <c r="D41" i="3"/>
  <c r="C41" i="3"/>
  <c r="B41" i="3"/>
  <c r="C66" i="3"/>
  <c r="C67" i="3" s="1"/>
  <c r="D66" i="3"/>
  <c r="D67" i="3" s="1"/>
  <c r="E66" i="3"/>
  <c r="E67" i="3" s="1"/>
  <c r="B66" i="3"/>
  <c r="B67" i="3" s="1"/>
  <c r="G27" i="3" l="1"/>
  <c r="G28" i="3"/>
  <c r="G25" i="3"/>
  <c r="G30" i="3"/>
  <c r="F63" i="3"/>
  <c r="G26" i="3"/>
  <c r="G34" i="3"/>
  <c r="G21" i="3"/>
  <c r="G35" i="3"/>
  <c r="G17" i="3"/>
  <c r="G19" i="3"/>
  <c r="G38" i="3"/>
  <c r="G18" i="3"/>
  <c r="G33" i="3"/>
  <c r="G23" i="3"/>
  <c r="G32" i="3"/>
  <c r="G20" i="3"/>
  <c r="G37" i="3"/>
  <c r="G24" i="3"/>
  <c r="G40" i="3"/>
  <c r="G22" i="3"/>
  <c r="G29" i="3"/>
  <c r="F65" i="3"/>
  <c r="F64" i="3"/>
  <c r="F62" i="3"/>
  <c r="F61" i="3"/>
  <c r="F60" i="3"/>
  <c r="G39" i="3"/>
  <c r="E70" i="3" l="1"/>
  <c r="G41" i="3"/>
  <c r="F41" i="3"/>
  <c r="D48" i="3" l="1"/>
  <c r="D50" i="3"/>
  <c r="D55" i="3"/>
  <c r="D52" i="3" l="1"/>
  <c r="E69" i="3" s="1"/>
  <c r="F66" i="3"/>
  <c r="B44" i="1"/>
  <c r="E71" i="3" l="1"/>
  <c r="G8" i="3" s="1"/>
  <c r="G9" i="3" s="1"/>
  <c r="D49" i="3"/>
  <c r="F32" i="1"/>
  <c r="D42" i="1" s="1"/>
  <c r="C2" i="1"/>
  <c r="D36" i="1" l="1"/>
  <c r="D39" i="1"/>
  <c r="D37" i="1"/>
  <c r="D38" i="1"/>
  <c r="D40" i="1"/>
  <c r="D41" i="1"/>
  <c r="F17" i="1"/>
  <c r="D4" i="1"/>
  <c r="F13" i="1"/>
  <c r="F16" i="1"/>
  <c r="D12" i="1"/>
  <c r="E12" i="1" s="1"/>
  <c r="F12" i="1" s="1"/>
  <c r="E13" i="1"/>
  <c r="D11" i="1"/>
  <c r="E11" i="1" s="1"/>
  <c r="F11" i="1" s="1"/>
  <c r="D13" i="1"/>
  <c r="G13" i="1"/>
  <c r="G11" i="1" l="1"/>
  <c r="G57" i="3" l="1"/>
  <c r="G62" i="3"/>
  <c r="G63" i="3"/>
  <c r="H42" i="1"/>
  <c r="I42" i="1" s="1"/>
  <c r="E2" i="1"/>
  <c r="F29" i="1" s="1"/>
  <c r="D10" i="1"/>
  <c r="E10" i="1" s="1"/>
  <c r="F10" i="1" s="1"/>
  <c r="G59" i="3" l="1"/>
  <c r="G65" i="3"/>
  <c r="G61" i="3"/>
  <c r="G60" i="3"/>
  <c r="G64" i="3"/>
  <c r="G58" i="3"/>
  <c r="G21" i="1"/>
  <c r="E21" i="1"/>
  <c r="F21" i="1" s="1"/>
  <c r="F27" i="1" s="1"/>
  <c r="G27" i="1" s="1"/>
  <c r="C17" i="1"/>
  <c r="D16" i="1"/>
  <c r="D14" i="1"/>
  <c r="D15" i="1"/>
  <c r="G66" i="3" l="1"/>
  <c r="E5" i="1"/>
  <c r="F25" i="1"/>
  <c r="G16" i="1"/>
  <c r="E14" i="1"/>
  <c r="F14" i="1" s="1"/>
  <c r="D17" i="1"/>
  <c r="G18" i="1" s="1"/>
  <c r="E16" i="1"/>
  <c r="G15" i="1"/>
  <c r="G14" i="1"/>
  <c r="G12" i="1"/>
  <c r="G10" i="1"/>
  <c r="E15" i="1"/>
  <c r="F15" i="1" s="1"/>
  <c r="F26" i="1" l="1"/>
  <c r="F28" i="1" s="1"/>
  <c r="F30" i="1" s="1"/>
  <c r="G17" i="1"/>
  <c r="G19" i="1" s="1"/>
  <c r="E17" i="1"/>
  <c r="G26" i="1" l="1"/>
  <c r="G28" i="1" s="1"/>
  <c r="F36" i="1"/>
  <c r="E36" i="1" l="1"/>
  <c r="H36" i="1"/>
  <c r="F39" i="1"/>
  <c r="H39" i="1" s="1"/>
  <c r="I39" i="1" s="1"/>
  <c r="E41" i="1"/>
  <c r="E37" i="1"/>
  <c r="E40" i="1"/>
  <c r="E38" i="1"/>
  <c r="D43" i="1" l="1"/>
  <c r="I36" i="1"/>
  <c r="E39" i="1"/>
  <c r="E43" i="1" s="1"/>
  <c r="F37" i="1"/>
  <c r="H37" i="1" s="1"/>
  <c r="I37" i="1" s="1"/>
  <c r="F41" i="1"/>
  <c r="H41" i="1" s="1"/>
  <c r="I41" i="1" s="1"/>
  <c r="F40" i="1"/>
  <c r="H40" i="1" s="1"/>
  <c r="I40" i="1" s="1"/>
  <c r="F38" i="1"/>
  <c r="H38" i="1" s="1"/>
  <c r="I38" i="1" s="1"/>
  <c r="H43" i="1" l="1"/>
  <c r="I43" i="1"/>
  <c r="F43" i="1"/>
</calcChain>
</file>

<file path=xl/sharedStrings.xml><?xml version="1.0" encoding="utf-8"?>
<sst xmlns="http://schemas.openxmlformats.org/spreadsheetml/2006/main" count="176" uniqueCount="129">
  <si>
    <t>Gerste</t>
  </si>
  <si>
    <t>MLF III</t>
  </si>
  <si>
    <t>Mineralfutter</t>
  </si>
  <si>
    <t>Schroten</t>
  </si>
  <si>
    <t>Saftfutter</t>
  </si>
  <si>
    <t>kg FM/Tag</t>
  </si>
  <si>
    <t>MJ NEL/Jahr</t>
  </si>
  <si>
    <t>€/Jahr</t>
  </si>
  <si>
    <t>dt FM/Jahr</t>
  </si>
  <si>
    <t>Gesamt Milchleistung</t>
  </si>
  <si>
    <t>aus Kraftfutter</t>
  </si>
  <si>
    <t>aus Saftfutter</t>
  </si>
  <si>
    <t>verbleibende Milchleistung aus Grobfutter</t>
  </si>
  <si>
    <t>zusätzlich Energiebedarf (Erhaltung, Trockenstehperiode)</t>
  </si>
  <si>
    <t>Gesamtenergiebedarf aus Grobfutter</t>
  </si>
  <si>
    <t>kg TM/Kuh u. Tag</t>
  </si>
  <si>
    <t>dt TM/Kuh u. Jahr</t>
  </si>
  <si>
    <t>Energie</t>
  </si>
  <si>
    <t>Leistung</t>
  </si>
  <si>
    <t>Energiebedarf</t>
  </si>
  <si>
    <t>Erhaltung</t>
  </si>
  <si>
    <t>Trockensteperiode</t>
  </si>
  <si>
    <t>Leistungsbedarf</t>
  </si>
  <si>
    <t>Angaben IDB</t>
  </si>
  <si>
    <t>Abgangsquote</t>
  </si>
  <si>
    <t>Eiweißgehalt der Milch</t>
  </si>
  <si>
    <t>Fettgehalt der Milch</t>
  </si>
  <si>
    <t>Grassilage</t>
  </si>
  <si>
    <t>Heu</t>
  </si>
  <si>
    <t>Maissilage</t>
  </si>
  <si>
    <t>Stroh</t>
  </si>
  <si>
    <t>Kleegrassilage</t>
  </si>
  <si>
    <t>Weide</t>
  </si>
  <si>
    <t>Sonst. GF I</t>
  </si>
  <si>
    <t>Anteil %</t>
  </si>
  <si>
    <t>Energie MJ NEL</t>
  </si>
  <si>
    <t>Futteraufnahme</t>
  </si>
  <si>
    <t>Zuschläge</t>
  </si>
  <si>
    <t>Futter-entnahme</t>
  </si>
  <si>
    <t>Gesamtkosten (Preise aus IDB)</t>
  </si>
  <si>
    <t>MJ NEL/kg TM</t>
  </si>
  <si>
    <t>dt TM/Jahr</t>
  </si>
  <si>
    <t>Spalte nicht im IDB</t>
  </si>
  <si>
    <t>MJ NEL/kg TM (Aus IDB)</t>
  </si>
  <si>
    <t>Weizen</t>
  </si>
  <si>
    <t>Körnermais</t>
  </si>
  <si>
    <t>Sojaextraktionsschrot</t>
  </si>
  <si>
    <t>Rapsextraktionsschrot</t>
  </si>
  <si>
    <t>durschn. LG</t>
  </si>
  <si>
    <t>Grobfutterzuschlag für mangelnde Futtereffizienz</t>
  </si>
  <si>
    <t>Gesamtenergie aus Grobfutter</t>
  </si>
  <si>
    <t>Milchleistung</t>
  </si>
  <si>
    <t>Reproduktionsbedarf</t>
  </si>
  <si>
    <t>kg LG</t>
  </si>
  <si>
    <t>%</t>
  </si>
  <si>
    <t>Futtermittel</t>
  </si>
  <si>
    <t>Sonst. KF I</t>
  </si>
  <si>
    <t>Sonst. KF II</t>
  </si>
  <si>
    <t>Berechnung der Energiebedarfe</t>
  </si>
  <si>
    <t>Trockenstehzeit</t>
  </si>
  <si>
    <t>Laktationszeit</t>
  </si>
  <si>
    <t>Zwischenkalbezeit</t>
  </si>
  <si>
    <t>Soajextraktionsschrot 44% XP</t>
  </si>
  <si>
    <t>Sonstig. GF I</t>
  </si>
  <si>
    <t>Sonstig. GF II</t>
  </si>
  <si>
    <t>Soajextraktionsschrot 44% XP EU</t>
  </si>
  <si>
    <t xml:space="preserve">Anzahl Tage </t>
  </si>
  <si>
    <t>dt FM/Kuh u. Jahr</t>
  </si>
  <si>
    <t>Energie-Anteil %</t>
  </si>
  <si>
    <t>Durch. Lebendgewicht</t>
  </si>
  <si>
    <t>kg Milch</t>
  </si>
  <si>
    <t>Tage</t>
  </si>
  <si>
    <t>Kennwerte des Produktionsverfahrens</t>
  </si>
  <si>
    <t>Berechnung der Grobfuttermenge</t>
  </si>
  <si>
    <t>Summe</t>
  </si>
  <si>
    <r>
      <rPr>
        <b/>
        <sz val="11"/>
        <color theme="1"/>
        <rFont val="Calibri"/>
        <family val="2"/>
        <scheme val="minor"/>
      </rPr>
      <t>Energie</t>
    </r>
    <r>
      <rPr>
        <sz val="11"/>
        <color theme="1"/>
        <rFont val="Calibri"/>
        <family val="2"/>
        <scheme val="minor"/>
      </rPr>
      <t xml:space="preserve">                                                            MJ NEL/Kuh u. Jahr</t>
    </r>
  </si>
  <si>
    <t>Trocken-steher</t>
  </si>
  <si>
    <t>Anzahl Tage</t>
  </si>
  <si>
    <r>
      <rPr>
        <b/>
        <sz val="11"/>
        <color theme="1"/>
        <rFont val="Calibri"/>
        <family val="2"/>
        <scheme val="minor"/>
      </rPr>
      <t>Futteraufnahme</t>
    </r>
    <r>
      <rPr>
        <sz val="11"/>
        <color theme="1"/>
        <rFont val="Calibri"/>
        <family val="2"/>
        <scheme val="minor"/>
      </rPr>
      <t xml:space="preserve">             kg </t>
    </r>
    <r>
      <rPr>
        <b/>
        <sz val="11"/>
        <color theme="1"/>
        <rFont val="Calibri"/>
        <family val="2"/>
        <scheme val="minor"/>
      </rPr>
      <t>TM</t>
    </r>
    <r>
      <rPr>
        <sz val="11"/>
        <color theme="1"/>
        <rFont val="Calibri"/>
        <family val="2"/>
        <scheme val="minor"/>
      </rPr>
      <t>/Kuh u. Tag</t>
    </r>
  </si>
  <si>
    <r>
      <rPr>
        <b/>
        <sz val="11"/>
        <color theme="1"/>
        <rFont val="Calibri"/>
        <family val="2"/>
        <scheme val="minor"/>
      </rPr>
      <t xml:space="preserve">Futter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kg </t>
    </r>
    <r>
      <rPr>
        <b/>
        <sz val="11"/>
        <color theme="1"/>
        <rFont val="Calibri"/>
        <family val="2"/>
        <scheme val="minor"/>
      </rPr>
      <t>FM</t>
    </r>
    <r>
      <rPr>
        <sz val="11"/>
        <color theme="1"/>
        <rFont val="Calibri"/>
        <family val="2"/>
        <scheme val="minor"/>
      </rPr>
      <t>/Tier u. Tag</t>
    </r>
  </si>
  <si>
    <t>MJ NEL/          kg TM</t>
  </si>
  <si>
    <t>Summe Kraft-, Mineral-, Saft- und Grobfutter</t>
  </si>
  <si>
    <t>TM-Gehalt</t>
  </si>
  <si>
    <r>
      <rPr>
        <b/>
        <sz val="11"/>
        <color theme="1"/>
        <rFont val="Calibri"/>
        <family val="2"/>
        <scheme val="minor"/>
      </rPr>
      <t xml:space="preserve">Futter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kg F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/Tier u. Tag</t>
    </r>
  </si>
  <si>
    <r>
      <rPr>
        <b/>
        <sz val="11"/>
        <color theme="1"/>
        <rFont val="Calibri"/>
        <family val="2"/>
        <scheme val="minor"/>
      </rPr>
      <t>TM-Gehalt</t>
    </r>
    <r>
      <rPr>
        <sz val="11"/>
        <color theme="1"/>
        <rFont val="Calibri"/>
        <family val="2"/>
        <scheme val="minor"/>
      </rPr>
      <t xml:space="preserve"> in %</t>
    </r>
  </si>
  <si>
    <t xml:space="preserve">...müssen eingetragen werden und im IDB.THG Rechner angepasst werden. </t>
  </si>
  <si>
    <t xml:space="preserve">...müssen eingetragen werden, nicht im IDB.THG Rechner. </t>
  </si>
  <si>
    <t xml:space="preserve">...nach Bedarf eintragen, nicht im IDB.THG Rechner. </t>
  </si>
  <si>
    <t xml:space="preserve">...sind Ergebnis-Werte, die im IDB-THG Rechner angepasst werden. </t>
  </si>
  <si>
    <t xml:space="preserve">...können angepasst werden, bei Änderung bitte auch im IDB.THG Rechner  anpassen. </t>
  </si>
  <si>
    <r>
      <rPr>
        <b/>
        <sz val="11"/>
        <color theme="1"/>
        <rFont val="Calibri"/>
        <family val="2"/>
        <scheme val="minor"/>
      </rPr>
      <t>Futter</t>
    </r>
    <r>
      <rPr>
        <sz val="11"/>
        <color theme="1"/>
        <rFont val="Calibri"/>
        <family val="2"/>
        <scheme val="minor"/>
      </rPr>
      <t xml:space="preserve">                         kg </t>
    </r>
    <r>
      <rPr>
        <b/>
        <sz val="11"/>
        <color theme="1"/>
        <rFont val="Calibri"/>
        <family val="2"/>
        <scheme val="minor"/>
      </rPr>
      <t>FM</t>
    </r>
    <r>
      <rPr>
        <sz val="11"/>
        <color theme="1"/>
        <rFont val="Calibri"/>
        <family val="2"/>
        <scheme val="minor"/>
      </rPr>
      <t>/Kuh u. Tag</t>
    </r>
  </si>
  <si>
    <t xml:space="preserve">Laktierende 1 </t>
  </si>
  <si>
    <t>Laktierende 2 (z.B. Weide)</t>
  </si>
  <si>
    <t>Laktierende 3 (z.B. Altmelker)</t>
  </si>
  <si>
    <t>Triticale</t>
  </si>
  <si>
    <t>Weizenkleie</t>
  </si>
  <si>
    <t>Zuckerrübenschnitzel</t>
  </si>
  <si>
    <t>Melasse (Zuckerrübe)</t>
  </si>
  <si>
    <t>MLF (Standard 16/3)</t>
  </si>
  <si>
    <t>MLF (Standard 25/2)</t>
  </si>
  <si>
    <t>Futtererbsen</t>
  </si>
  <si>
    <t>Propylenglykol</t>
  </si>
  <si>
    <t>Luzernesilage</t>
  </si>
  <si>
    <t>Biertrebersilage</t>
  </si>
  <si>
    <t>Pressschnitzel siliert</t>
  </si>
  <si>
    <t>Kartoffelpülpe siliert</t>
  </si>
  <si>
    <t>Energie (MJ NEL/kg TM)</t>
  </si>
  <si>
    <t>Trockenmasse %</t>
  </si>
  <si>
    <t>Saftfuttermittel (bitte auswählen)</t>
  </si>
  <si>
    <t>Energiekraftfutter</t>
  </si>
  <si>
    <t>Eiweißkraftfutter</t>
  </si>
  <si>
    <t>Sonstige und Mineralfutter</t>
  </si>
  <si>
    <r>
      <t xml:space="preserve">Bitte </t>
    </r>
    <r>
      <rPr>
        <b/>
        <i/>
        <sz val="9"/>
        <color theme="1"/>
        <rFont val="Calibri"/>
        <family val="2"/>
        <scheme val="minor"/>
      </rPr>
      <t xml:space="preserve">Saftfutter </t>
    </r>
    <r>
      <rPr>
        <i/>
        <sz val="9"/>
        <color theme="1"/>
        <rFont val="Calibri"/>
        <family val="2"/>
        <scheme val="minor"/>
      </rPr>
      <t>auswählen</t>
    </r>
  </si>
  <si>
    <t xml:space="preserve">Legende: Werte in folgender Farbe... </t>
  </si>
  <si>
    <t>MLF (Standard 14/&gt;3)</t>
  </si>
  <si>
    <t>MLF (Standard 16/&gt;3)</t>
  </si>
  <si>
    <t>MLF (Standard 18/3)</t>
  </si>
  <si>
    <t>MLF (Standard 18/&gt;3)</t>
  </si>
  <si>
    <t>MLF (Standard 20/&gt;3)</t>
  </si>
  <si>
    <t>MLF (Standard 38/&gt;3)</t>
  </si>
  <si>
    <r>
      <t>Zuschlag für Optimierungspotential in der Fütterung</t>
    </r>
    <r>
      <rPr>
        <b/>
        <sz val="11"/>
        <color theme="9" tint="-0.249977111117893"/>
        <rFont val="Calibri"/>
        <family val="2"/>
        <scheme val="minor"/>
      </rPr>
      <t xml:space="preserve"> (Berechnung wie bisher in Excel)</t>
    </r>
  </si>
  <si>
    <t>Weidetage pro Zwischenkalbezeit</t>
  </si>
  <si>
    <t>Weidetage Laktierende pro Kalenderjahr</t>
  </si>
  <si>
    <t>Zuschlag für Optimierungspotenzial</t>
  </si>
  <si>
    <t>Benötigte Futterenergie je Kuh u. Jahr</t>
  </si>
  <si>
    <t>Normenergiebedarf je Kuh u. Jahr</t>
  </si>
  <si>
    <t>MJ NEL/  
kg TM</t>
  </si>
  <si>
    <t>Energiebedarf aus Grobfutter</t>
  </si>
  <si>
    <t>MJ NEL/
kg 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</si>
</sst>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%"/>
    <numFmt numFmtId="167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800040"/>
      <name val="Calibri"/>
      <family val="2"/>
      <scheme val="minor"/>
    </font>
    <font>
      <sz val="10"/>
      <color rgb="FF80004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0040"/>
      </left>
      <right style="medium">
        <color rgb="FF800040"/>
      </right>
      <top style="medium">
        <color rgb="FF800040"/>
      </top>
      <bottom style="medium">
        <color rgb="FF80004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thin">
        <color indexed="64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166" fontId="0" fillId="0" borderId="4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wrapText="1"/>
    </xf>
    <xf numFmtId="2" fontId="2" fillId="0" borderId="0" xfId="0" applyNumberFormat="1" applyFont="1"/>
    <xf numFmtId="164" fontId="2" fillId="0" borderId="0" xfId="0" applyNumberFormat="1" applyFont="1"/>
    <xf numFmtId="0" fontId="0" fillId="2" borderId="0" xfId="0" applyFill="1" applyAlignment="1">
      <alignment wrapText="1"/>
    </xf>
    <xf numFmtId="165" fontId="2" fillId="0" borderId="0" xfId="0" applyNumberFormat="1" applyFont="1"/>
    <xf numFmtId="1" fontId="0" fillId="0" borderId="0" xfId="0" applyNumberFormat="1" applyFill="1"/>
    <xf numFmtId="0" fontId="0" fillId="0" borderId="0" xfId="0" applyFill="1"/>
    <xf numFmtId="0" fontId="0" fillId="0" borderId="7" xfId="0" applyBorder="1"/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/>
    <xf numFmtId="0" fontId="3" fillId="0" borderId="7" xfId="0" applyFon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0" xfId="0" applyFill="1" applyAlignment="1">
      <alignment horizontal="center" vertic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/>
    </xf>
    <xf numFmtId="9" fontId="0" fillId="0" borderId="7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9" fontId="0" fillId="0" borderId="0" xfId="1" applyFont="1" applyFill="1" applyBorder="1" applyAlignment="1">
      <alignment horizontal="center" vertical="center"/>
    </xf>
    <xf numFmtId="0" fontId="3" fillId="0" borderId="7" xfId="0" applyFont="1" applyFill="1" applyBorder="1"/>
    <xf numFmtId="2" fontId="3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wrapText="1"/>
    </xf>
    <xf numFmtId="0" fontId="0" fillId="0" borderId="0" xfId="0" applyBorder="1"/>
    <xf numFmtId="0" fontId="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9" fontId="7" fillId="0" borderId="7" xfId="1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wrapText="1"/>
    </xf>
    <xf numFmtId="0" fontId="3" fillId="0" borderId="0" xfId="0" applyFont="1"/>
    <xf numFmtId="166" fontId="0" fillId="0" borderId="0" xfId="1" applyNumberFormat="1" applyFont="1"/>
    <xf numFmtId="0" fontId="0" fillId="0" borderId="21" xfId="0" applyFont="1" applyBorder="1"/>
    <xf numFmtId="0" fontId="0" fillId="0" borderId="21" xfId="0" applyBorder="1" applyAlignment="1">
      <alignment wrapText="1"/>
    </xf>
    <xf numFmtId="0" fontId="0" fillId="0" borderId="21" xfId="0" applyBorder="1"/>
    <xf numFmtId="0" fontId="17" fillId="0" borderId="18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0" fillId="7" borderId="23" xfId="0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12" xfId="0" applyFill="1" applyBorder="1"/>
    <xf numFmtId="0" fontId="0" fillId="7" borderId="7" xfId="0" applyFill="1" applyBorder="1"/>
    <xf numFmtId="1" fontId="0" fillId="5" borderId="7" xfId="0" applyNumberFormat="1" applyFill="1" applyBorder="1" applyAlignment="1">
      <alignment horizontal="center" vertical="center"/>
    </xf>
    <xf numFmtId="9" fontId="16" fillId="5" borderId="7" xfId="1" applyFont="1" applyFill="1" applyBorder="1" applyAlignment="1">
      <alignment horizontal="center" vertical="center"/>
    </xf>
    <xf numFmtId="0" fontId="3" fillId="7" borderId="7" xfId="0" applyFont="1" applyFill="1" applyBorder="1"/>
    <xf numFmtId="2" fontId="5" fillId="6" borderId="7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 vertical="center"/>
    </xf>
    <xf numFmtId="9" fontId="5" fillId="6" borderId="7" xfId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/>
    </xf>
    <xf numFmtId="1" fontId="0" fillId="5" borderId="20" xfId="0" applyNumberForma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/>
    </xf>
    <xf numFmtId="2" fontId="0" fillId="5" borderId="18" xfId="0" applyNumberForma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1" fontId="12" fillId="8" borderId="7" xfId="0" applyNumberFormat="1" applyFont="1" applyFill="1" applyBorder="1" applyAlignment="1" applyProtection="1">
      <alignment wrapText="1"/>
      <protection locked="0"/>
    </xf>
    <xf numFmtId="1" fontId="4" fillId="8" borderId="7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167" fontId="0" fillId="0" borderId="0" xfId="0" applyNumberFormat="1"/>
    <xf numFmtId="0" fontId="20" fillId="0" borderId="0" xfId="0" applyFont="1" applyFill="1"/>
    <xf numFmtId="0" fontId="21" fillId="0" borderId="0" xfId="0" applyFont="1" applyFill="1"/>
    <xf numFmtId="0" fontId="20" fillId="0" borderId="0" xfId="0" applyFont="1"/>
    <xf numFmtId="0" fontId="20" fillId="0" borderId="0" xfId="0" applyFont="1" applyAlignment="1"/>
    <xf numFmtId="2" fontId="0" fillId="9" borderId="18" xfId="0" applyNumberForma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22" fillId="0" borderId="0" xfId="0" applyNumberFormat="1" applyFont="1" applyFill="1"/>
    <xf numFmtId="10" fontId="6" fillId="0" borderId="27" xfId="1" applyNumberFormat="1" applyFont="1" applyFill="1" applyBorder="1" applyAlignment="1">
      <alignment horizontal="center" vertical="center"/>
    </xf>
    <xf numFmtId="10" fontId="6" fillId="0" borderId="28" xfId="1" applyNumberFormat="1" applyFont="1" applyFill="1" applyBorder="1" applyAlignment="1">
      <alignment horizontal="center" vertical="center"/>
    </xf>
    <xf numFmtId="10" fontId="6" fillId="0" borderId="29" xfId="1" applyNumberFormat="1" applyFont="1" applyFill="1" applyBorder="1" applyAlignment="1">
      <alignment horizontal="center" vertical="center"/>
    </xf>
    <xf numFmtId="0" fontId="23" fillId="0" borderId="0" xfId="0" applyFont="1" applyFill="1"/>
    <xf numFmtId="1" fontId="0" fillId="0" borderId="8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20" xfId="0" applyNumberFormat="1" applyFill="1" applyBorder="1" applyAlignment="1">
      <alignment horizontal="center" vertical="center"/>
    </xf>
    <xf numFmtId="2" fontId="6" fillId="0" borderId="33" xfId="0" applyNumberFormat="1" applyFont="1" applyFill="1" applyBorder="1" applyAlignment="1">
      <alignment horizontal="center"/>
    </xf>
    <xf numFmtId="2" fontId="6" fillId="0" borderId="34" xfId="0" applyNumberFormat="1" applyFont="1" applyFill="1" applyBorder="1" applyAlignment="1">
      <alignment horizontal="center"/>
    </xf>
    <xf numFmtId="2" fontId="6" fillId="0" borderId="29" xfId="0" applyNumberFormat="1" applyFont="1" applyFill="1" applyBorder="1" applyAlignment="1">
      <alignment horizontal="center"/>
    </xf>
    <xf numFmtId="2" fontId="6" fillId="0" borderId="2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Fill="1"/>
    <xf numFmtId="164" fontId="8" fillId="6" borderId="26" xfId="1" applyNumberFormat="1" applyFont="1" applyFill="1" applyBorder="1" applyAlignment="1">
      <alignment horizontal="center" vertical="center"/>
    </xf>
    <xf numFmtId="2" fontId="6" fillId="6" borderId="26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0" fillId="0" borderId="3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3" fillId="3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0" fillId="0" borderId="7" xfId="0" applyFill="1" applyBorder="1" applyAlignment="1">
      <alignment horizontal="center" wrapText="1"/>
    </xf>
    <xf numFmtId="0" fontId="3" fillId="3" borderId="7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4" borderId="19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2" fontId="15" fillId="0" borderId="30" xfId="0" applyNumberFormat="1" applyFont="1" applyFill="1" applyBorder="1" applyAlignment="1">
      <alignment horizontal="left"/>
    </xf>
    <xf numFmtId="2" fontId="15" fillId="0" borderId="31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00FF"/>
      <color rgb="FFF7F7F7"/>
      <color rgb="FF80004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workbookViewId="0">
      <selection activeCell="H1" sqref="H1"/>
    </sheetView>
  </sheetViews>
  <sheetFormatPr baseColWidth="10" defaultColWidth="8.88671875" defaultRowHeight="14.4" x14ac:dyDescent="0.3"/>
  <cols>
    <col min="1" max="2" width="17.33203125" customWidth="1"/>
    <col min="3" max="3" width="12" bestFit="1" customWidth="1"/>
    <col min="5" max="5" width="13.33203125" customWidth="1"/>
    <col min="6" max="6" width="11.5546875" customWidth="1"/>
    <col min="8" max="8" width="9.6640625" customWidth="1"/>
    <col min="9" max="9" width="13.33203125" customWidth="1"/>
    <col min="12" max="12" width="19.5546875" bestFit="1" customWidth="1"/>
  </cols>
  <sheetData>
    <row r="1" spans="1:13" x14ac:dyDescent="0.3">
      <c r="A1" s="117" t="s">
        <v>19</v>
      </c>
      <c r="B1" s="117"/>
      <c r="C1" s="117"/>
      <c r="D1" s="117"/>
      <c r="E1" s="117"/>
      <c r="L1" s="8" t="s">
        <v>23</v>
      </c>
      <c r="M1" s="9"/>
    </row>
    <row r="2" spans="1:13" x14ac:dyDescent="0.3">
      <c r="A2" t="s">
        <v>20</v>
      </c>
      <c r="C2" s="20">
        <f>0.293*M3^0.75</f>
        <v>41.991710717381906</v>
      </c>
      <c r="E2" s="4">
        <f>C2*365</f>
        <v>15326.974411844396</v>
      </c>
      <c r="F2" t="s">
        <v>6</v>
      </c>
      <c r="L2" s="10" t="s">
        <v>24</v>
      </c>
      <c r="M2" s="11">
        <v>0.32200000000000001</v>
      </c>
    </row>
    <row r="3" spans="1:13" x14ac:dyDescent="0.3">
      <c r="A3" t="s">
        <v>21</v>
      </c>
      <c r="E3">
        <v>1500</v>
      </c>
      <c r="F3" t="s">
        <v>6</v>
      </c>
      <c r="L3" s="10" t="s">
        <v>48</v>
      </c>
      <c r="M3" s="12">
        <v>750</v>
      </c>
    </row>
    <row r="4" spans="1:13" x14ac:dyDescent="0.3">
      <c r="A4" t="s">
        <v>22</v>
      </c>
      <c r="C4">
        <v>7963</v>
      </c>
      <c r="D4" s="2">
        <f>1.05+0.38*M5+0.21*M4</f>
        <v>3.3893999999999997</v>
      </c>
      <c r="E4" s="4">
        <v>26995</v>
      </c>
      <c r="F4" t="s">
        <v>6</v>
      </c>
      <c r="L4" s="10" t="s">
        <v>25</v>
      </c>
      <c r="M4" s="12">
        <v>3.54</v>
      </c>
    </row>
    <row r="5" spans="1:13" ht="15" thickBot="1" x14ac:dyDescent="0.35">
      <c r="E5" s="4">
        <f>SUM(E2:E4)</f>
        <v>43821.974411844392</v>
      </c>
      <c r="F5" t="s">
        <v>6</v>
      </c>
      <c r="L5" s="13" t="s">
        <v>26</v>
      </c>
      <c r="M5" s="14">
        <v>4.2</v>
      </c>
    </row>
    <row r="8" spans="1:13" ht="28.8" x14ac:dyDescent="0.3">
      <c r="E8" s="16" t="s">
        <v>42</v>
      </c>
    </row>
    <row r="9" spans="1:13" x14ac:dyDescent="0.3">
      <c r="B9" s="7" t="s">
        <v>40</v>
      </c>
      <c r="C9" t="s">
        <v>5</v>
      </c>
      <c r="D9" t="s">
        <v>8</v>
      </c>
      <c r="E9" s="15" t="s">
        <v>41</v>
      </c>
      <c r="F9" t="s">
        <v>6</v>
      </c>
      <c r="G9" t="s">
        <v>7</v>
      </c>
    </row>
    <row r="10" spans="1:13" x14ac:dyDescent="0.3">
      <c r="A10" t="s">
        <v>0</v>
      </c>
      <c r="B10">
        <v>8.14</v>
      </c>
      <c r="C10">
        <v>2.4</v>
      </c>
      <c r="D10" s="2">
        <f>C10*365/100</f>
        <v>8.76</v>
      </c>
      <c r="E10" s="17">
        <f>D10*0.88</f>
        <v>7.7088000000000001</v>
      </c>
      <c r="F10" s="4">
        <f>E10*100*B10</f>
        <v>6274.9632000000001</v>
      </c>
      <c r="G10" s="2">
        <f>D10*15.46</f>
        <v>135.42959999999999</v>
      </c>
    </row>
    <row r="11" spans="1:13" x14ac:dyDescent="0.3">
      <c r="A11" t="s">
        <v>44</v>
      </c>
      <c r="B11">
        <v>8.5299999999999994</v>
      </c>
      <c r="C11">
        <v>0</v>
      </c>
      <c r="D11" s="2">
        <f t="shared" ref="D11:D13" si="0">C11*365/100</f>
        <v>0</v>
      </c>
      <c r="E11" s="17">
        <f t="shared" ref="E11:E13" si="1">D11*0.88</f>
        <v>0</v>
      </c>
      <c r="F11" s="4">
        <f t="shared" ref="F11" si="2">E11*100*B11</f>
        <v>0</v>
      </c>
      <c r="G11" s="2">
        <f>D11*17.17</f>
        <v>0</v>
      </c>
    </row>
    <row r="12" spans="1:13" x14ac:dyDescent="0.3">
      <c r="A12" t="s">
        <v>1</v>
      </c>
      <c r="B12">
        <v>6.5</v>
      </c>
      <c r="C12">
        <v>2.4</v>
      </c>
      <c r="D12" s="2">
        <f>C12*365/100</f>
        <v>8.76</v>
      </c>
      <c r="E12" s="17">
        <f>D12*0.88</f>
        <v>7.7088000000000001</v>
      </c>
      <c r="F12" s="4">
        <f>E12*100*B12</f>
        <v>5010.72</v>
      </c>
      <c r="G12" s="2">
        <f>D12*25.42</f>
        <v>222.67920000000001</v>
      </c>
    </row>
    <row r="13" spans="1:13" x14ac:dyDescent="0.3">
      <c r="A13" t="s">
        <v>45</v>
      </c>
      <c r="B13">
        <v>8.3800000000000008</v>
      </c>
      <c r="C13">
        <v>0</v>
      </c>
      <c r="D13" s="2">
        <f t="shared" si="0"/>
        <v>0</v>
      </c>
      <c r="E13" s="17">
        <f t="shared" si="1"/>
        <v>0</v>
      </c>
      <c r="F13" s="4">
        <f t="shared" ref="F13:F16" si="3">E13*100*B13</f>
        <v>0</v>
      </c>
      <c r="G13" s="2">
        <f>D13*18.22</f>
        <v>0</v>
      </c>
    </row>
    <row r="14" spans="1:13" x14ac:dyDescent="0.3">
      <c r="A14" t="s">
        <v>47</v>
      </c>
      <c r="B14">
        <v>7.1</v>
      </c>
      <c r="C14">
        <v>1.3</v>
      </c>
      <c r="D14" s="2">
        <f t="shared" ref="D14:D16" si="4">C14*365/100</f>
        <v>4.7450000000000001</v>
      </c>
      <c r="E14" s="17">
        <f>D14*0.9</f>
        <v>4.2705000000000002</v>
      </c>
      <c r="F14" s="4">
        <f>E14*100*B14</f>
        <v>3032.0549999999998</v>
      </c>
      <c r="G14" s="2">
        <f>D14*30.74</f>
        <v>145.8613</v>
      </c>
    </row>
    <row r="15" spans="1:13" x14ac:dyDescent="0.3">
      <c r="A15" t="s">
        <v>46</v>
      </c>
      <c r="B15">
        <v>8.64</v>
      </c>
      <c r="C15">
        <v>1.3</v>
      </c>
      <c r="D15" s="2">
        <f t="shared" si="4"/>
        <v>4.7450000000000001</v>
      </c>
      <c r="E15" s="17">
        <f t="shared" ref="E15" si="5">D15*0.88</f>
        <v>4.1756000000000002</v>
      </c>
      <c r="F15" s="4">
        <f t="shared" si="3"/>
        <v>3607.7184000000002</v>
      </c>
      <c r="G15" s="2">
        <f>D15*42.62</f>
        <v>202.2319</v>
      </c>
    </row>
    <row r="16" spans="1:13" x14ac:dyDescent="0.3">
      <c r="A16" t="s">
        <v>2</v>
      </c>
      <c r="B16">
        <v>0</v>
      </c>
      <c r="C16">
        <v>0.18579999999999999</v>
      </c>
      <c r="D16" s="1">
        <f t="shared" si="4"/>
        <v>0.67816999999999994</v>
      </c>
      <c r="E16" s="18">
        <f>D16*0.95</f>
        <v>0.64426149999999993</v>
      </c>
      <c r="F16" s="4">
        <f t="shared" si="3"/>
        <v>0</v>
      </c>
      <c r="G16" s="2">
        <f>D16*71.96</f>
        <v>48.801113199999989</v>
      </c>
    </row>
    <row r="17" spans="1:7" x14ac:dyDescent="0.3">
      <c r="C17">
        <f>SUM(C10:C16)</f>
        <v>7.5857999999999999</v>
      </c>
      <c r="D17" s="2">
        <f>SUM(D10:D16)</f>
        <v>27.688170000000003</v>
      </c>
      <c r="E17" s="17">
        <f>SUM(E10:E16)</f>
        <v>24.507961499999997</v>
      </c>
      <c r="F17" s="4">
        <f>SUM(F10:F16)</f>
        <v>17925.456600000001</v>
      </c>
      <c r="G17" s="2">
        <f>SUM(G10:G16)</f>
        <v>755.00311320000003</v>
      </c>
    </row>
    <row r="18" spans="1:7" x14ac:dyDescent="0.3">
      <c r="A18" t="s">
        <v>3</v>
      </c>
      <c r="C18">
        <v>1</v>
      </c>
      <c r="G18" s="2">
        <f>D17*C18</f>
        <v>27.688170000000003</v>
      </c>
    </row>
    <row r="19" spans="1:7" x14ac:dyDescent="0.3">
      <c r="G19" s="2">
        <f>G17+G18</f>
        <v>782.69128320000004</v>
      </c>
    </row>
    <row r="21" spans="1:7" x14ac:dyDescent="0.3">
      <c r="A21" t="s">
        <v>4</v>
      </c>
      <c r="B21">
        <v>0</v>
      </c>
      <c r="D21">
        <v>0</v>
      </c>
      <c r="E21">
        <f>0*0</f>
        <v>0</v>
      </c>
      <c r="F21">
        <f>E21*100*B21</f>
        <v>0</v>
      </c>
      <c r="G21">
        <f>D21*0</f>
        <v>0</v>
      </c>
    </row>
    <row r="24" spans="1:7" x14ac:dyDescent="0.3">
      <c r="F24" t="s">
        <v>17</v>
      </c>
      <c r="G24" t="s">
        <v>18</v>
      </c>
    </row>
    <row r="25" spans="1:7" x14ac:dyDescent="0.3">
      <c r="A25" t="s">
        <v>9</v>
      </c>
      <c r="F25" s="4">
        <f>E4</f>
        <v>26995</v>
      </c>
      <c r="G25" s="4">
        <v>7963</v>
      </c>
    </row>
    <row r="26" spans="1:7" x14ac:dyDescent="0.3">
      <c r="A26" t="s">
        <v>10</v>
      </c>
      <c r="F26" s="4">
        <f>F17</f>
        <v>17925.456600000001</v>
      </c>
      <c r="G26" s="4">
        <f>F26/$D$4</f>
        <v>5288.6813595326612</v>
      </c>
    </row>
    <row r="27" spans="1:7" x14ac:dyDescent="0.3">
      <c r="A27" t="s">
        <v>11</v>
      </c>
      <c r="F27">
        <f>F21</f>
        <v>0</v>
      </c>
      <c r="G27" s="4">
        <f>F27/$D$4</f>
        <v>0</v>
      </c>
    </row>
    <row r="28" spans="1:7" x14ac:dyDescent="0.3">
      <c r="A28" t="s">
        <v>12</v>
      </c>
      <c r="F28" s="4">
        <f>F25-F26-F27</f>
        <v>9069.5433999999987</v>
      </c>
      <c r="G28" s="4">
        <f>G25-G26-G27</f>
        <v>2674.3186404673388</v>
      </c>
    </row>
    <row r="29" spans="1:7" x14ac:dyDescent="0.3">
      <c r="A29" t="s">
        <v>13</v>
      </c>
      <c r="F29" s="4">
        <f>E2+E3</f>
        <v>16826.974411844396</v>
      </c>
    </row>
    <row r="30" spans="1:7" x14ac:dyDescent="0.3">
      <c r="A30" t="s">
        <v>14</v>
      </c>
      <c r="F30" s="4">
        <f>F28+F29</f>
        <v>25896.517811844395</v>
      </c>
    </row>
    <row r="31" spans="1:7" x14ac:dyDescent="0.3">
      <c r="A31" t="s">
        <v>49</v>
      </c>
      <c r="F31" s="5">
        <v>0.2</v>
      </c>
    </row>
    <row r="32" spans="1:7" x14ac:dyDescent="0.3">
      <c r="A32" t="s">
        <v>50</v>
      </c>
      <c r="F32" s="4">
        <f>F30*(1+F31)</f>
        <v>31075.821374213272</v>
      </c>
    </row>
    <row r="34" spans="1:9" x14ac:dyDescent="0.3">
      <c r="E34" s="118" t="s">
        <v>36</v>
      </c>
      <c r="F34" s="118"/>
    </row>
    <row r="35" spans="1:9" ht="43.2" x14ac:dyDescent="0.3">
      <c r="B35" s="19" t="s">
        <v>43</v>
      </c>
      <c r="C35" t="s">
        <v>34</v>
      </c>
      <c r="D35" s="6" t="s">
        <v>35</v>
      </c>
      <c r="E35" s="6" t="s">
        <v>15</v>
      </c>
      <c r="F35" s="6" t="s">
        <v>16</v>
      </c>
      <c r="G35" s="6" t="s">
        <v>37</v>
      </c>
      <c r="H35" s="6" t="s">
        <v>38</v>
      </c>
      <c r="I35" s="6" t="s">
        <v>39</v>
      </c>
    </row>
    <row r="36" spans="1:9" x14ac:dyDescent="0.3">
      <c r="A36" t="s">
        <v>27</v>
      </c>
      <c r="B36">
        <v>6.1</v>
      </c>
      <c r="C36" s="5">
        <v>0.6</v>
      </c>
      <c r="D36" s="4">
        <f t="shared" ref="D36:D42" si="6">$F$32*C36</f>
        <v>18645.492824527963</v>
      </c>
      <c r="E36" s="2">
        <f>(D36/B36)/365</f>
        <v>8.3743511450832973</v>
      </c>
      <c r="F36" s="2">
        <f>D36/B36/100</f>
        <v>30.566381679554038</v>
      </c>
      <c r="G36" s="5">
        <v>0.05</v>
      </c>
      <c r="H36" s="2">
        <f>F36*(1+G36)</f>
        <v>32.094700763531741</v>
      </c>
      <c r="I36" s="2">
        <f>H36*12.71</f>
        <v>407.92364670448848</v>
      </c>
    </row>
    <row r="37" spans="1:9" x14ac:dyDescent="0.3">
      <c r="A37" t="s">
        <v>28</v>
      </c>
      <c r="B37">
        <v>5.6</v>
      </c>
      <c r="C37" s="5">
        <v>0.1</v>
      </c>
      <c r="D37" s="4">
        <f t="shared" si="6"/>
        <v>3107.5821374213274</v>
      </c>
      <c r="E37" s="2">
        <f t="shared" ref="E37:E41" si="7">(D37/B37)/365</f>
        <v>1.520343511458575</v>
      </c>
      <c r="F37" s="2">
        <f t="shared" ref="F37:F41" si="8">D37/B37/100</f>
        <v>5.549253816823799</v>
      </c>
      <c r="G37" s="5">
        <v>0.05</v>
      </c>
      <c r="H37" s="2">
        <f t="shared" ref="H37:H42" si="9">F37*(1+G37)</f>
        <v>5.8267165076649894</v>
      </c>
      <c r="I37" s="2">
        <f>H37*15.35</f>
        <v>89.440098392657589</v>
      </c>
    </row>
    <row r="38" spans="1:9" x14ac:dyDescent="0.3">
      <c r="A38" t="s">
        <v>29</v>
      </c>
      <c r="B38">
        <v>6.74</v>
      </c>
      <c r="C38" s="5">
        <v>0.3</v>
      </c>
      <c r="D38" s="4">
        <f t="shared" si="6"/>
        <v>9322.7464122639813</v>
      </c>
      <c r="E38" s="2">
        <f t="shared" si="7"/>
        <v>3.7895802659501565</v>
      </c>
      <c r="F38" s="2">
        <f t="shared" si="8"/>
        <v>13.831967970718072</v>
      </c>
      <c r="G38" s="5">
        <v>0.05</v>
      </c>
      <c r="H38" s="2">
        <f t="shared" si="9"/>
        <v>14.523566369253976</v>
      </c>
      <c r="I38" s="2">
        <f>H38*9.74</f>
        <v>141.45953643653374</v>
      </c>
    </row>
    <row r="39" spans="1:9" x14ac:dyDescent="0.3">
      <c r="A39" t="s">
        <v>30</v>
      </c>
      <c r="B39">
        <v>3.7</v>
      </c>
      <c r="C39" s="5">
        <v>0</v>
      </c>
      <c r="D39" s="4">
        <f t="shared" si="6"/>
        <v>0</v>
      </c>
      <c r="E39" s="2">
        <f t="shared" si="7"/>
        <v>0</v>
      </c>
      <c r="F39" s="2">
        <f t="shared" si="8"/>
        <v>0</v>
      </c>
      <c r="G39" s="5">
        <v>0.05</v>
      </c>
      <c r="H39" s="2">
        <f t="shared" si="9"/>
        <v>0</v>
      </c>
      <c r="I39">
        <f>H39*5.28</f>
        <v>0</v>
      </c>
    </row>
    <row r="40" spans="1:9" x14ac:dyDescent="0.3">
      <c r="A40" t="s">
        <v>31</v>
      </c>
      <c r="B40">
        <v>5.73</v>
      </c>
      <c r="C40" s="5">
        <v>0</v>
      </c>
      <c r="D40" s="4">
        <f t="shared" si="6"/>
        <v>0</v>
      </c>
      <c r="E40" s="2">
        <f t="shared" si="7"/>
        <v>0</v>
      </c>
      <c r="F40" s="2">
        <f t="shared" si="8"/>
        <v>0</v>
      </c>
      <c r="G40" s="5">
        <v>0.05</v>
      </c>
      <c r="H40" s="2">
        <f t="shared" si="9"/>
        <v>0</v>
      </c>
      <c r="I40">
        <f>H40*0</f>
        <v>0</v>
      </c>
    </row>
    <row r="41" spans="1:9" x14ac:dyDescent="0.3">
      <c r="A41" t="s">
        <v>32</v>
      </c>
      <c r="B41">
        <v>6.3</v>
      </c>
      <c r="C41" s="5">
        <v>0</v>
      </c>
      <c r="D41" s="4">
        <f t="shared" si="6"/>
        <v>0</v>
      </c>
      <c r="E41" s="2">
        <f t="shared" si="7"/>
        <v>0</v>
      </c>
      <c r="F41" s="2">
        <f t="shared" si="8"/>
        <v>0</v>
      </c>
      <c r="G41" s="5">
        <v>0</v>
      </c>
      <c r="H41" s="2">
        <f t="shared" si="9"/>
        <v>0</v>
      </c>
      <c r="I41">
        <f>H41*7.81</f>
        <v>0</v>
      </c>
    </row>
    <row r="42" spans="1:9" x14ac:dyDescent="0.3">
      <c r="A42" t="s">
        <v>33</v>
      </c>
      <c r="B42">
        <v>0</v>
      </c>
      <c r="C42" s="5">
        <v>0</v>
      </c>
      <c r="D42" s="4">
        <f t="shared" si="6"/>
        <v>0</v>
      </c>
      <c r="E42" s="3">
        <v>0</v>
      </c>
      <c r="F42" s="2">
        <v>0</v>
      </c>
      <c r="G42" s="5">
        <v>0</v>
      </c>
      <c r="H42" s="2">
        <f t="shared" si="9"/>
        <v>0</v>
      </c>
      <c r="I42">
        <f>H42*0</f>
        <v>0</v>
      </c>
    </row>
    <row r="43" spans="1:9" x14ac:dyDescent="0.3">
      <c r="D43" s="4">
        <f>SUM(D36:D42)</f>
        <v>31075.821374213272</v>
      </c>
      <c r="E43" s="2">
        <f>SUM(E36:E42)</f>
        <v>13.68427492249203</v>
      </c>
      <c r="F43" s="2">
        <f>SUM(F36:F42)</f>
        <v>49.947603467095902</v>
      </c>
      <c r="H43" s="2">
        <f>SUM(H36:H42)</f>
        <v>52.444983640450708</v>
      </c>
      <c r="I43" s="2">
        <f>SUM(I36:I42)</f>
        <v>638.82328153367985</v>
      </c>
    </row>
    <row r="44" spans="1:9" x14ac:dyDescent="0.3">
      <c r="B44">
        <f>B36*C36+B37*C37+B38*C38</f>
        <v>6.2419999999999991</v>
      </c>
    </row>
  </sheetData>
  <mergeCells count="2">
    <mergeCell ref="A1:E1"/>
    <mergeCell ref="E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F0EC1-9830-4BAF-9687-E612EB78B207}">
  <dimension ref="A1:P75"/>
  <sheetViews>
    <sheetView tabSelected="1" zoomScale="130" zoomScaleNormal="130" workbookViewId="0">
      <selection activeCell="B65" sqref="B65"/>
    </sheetView>
  </sheetViews>
  <sheetFormatPr baseColWidth="10" defaultRowHeight="14.4" x14ac:dyDescent="0.3"/>
  <cols>
    <col min="1" max="1" width="31.44140625" customWidth="1"/>
    <col min="2" max="2" width="10.88671875" customWidth="1"/>
    <col min="3" max="3" width="13.88671875" customWidth="1"/>
    <col min="4" max="4" width="19.44140625" customWidth="1"/>
    <col min="5" max="5" width="16.44140625" customWidth="1"/>
    <col min="6" max="6" width="20.44140625" customWidth="1"/>
    <col min="7" max="7" width="18.88671875" customWidth="1"/>
    <col min="8" max="8" width="11.88671875" bestFit="1" customWidth="1"/>
    <col min="9" max="9" width="14.44140625" customWidth="1"/>
    <col min="10" max="10" width="82.21875" customWidth="1"/>
    <col min="11" max="11" width="34.109375" bestFit="1" customWidth="1"/>
    <col min="12" max="12" width="12" bestFit="1" customWidth="1"/>
    <col min="14" max="14" width="19.109375" customWidth="1"/>
    <col min="15" max="15" width="23.109375" customWidth="1"/>
    <col min="16" max="16" width="15.5546875" bestFit="1" customWidth="1"/>
  </cols>
  <sheetData>
    <row r="1" spans="1:16" ht="15" thickBot="1" x14ac:dyDescent="0.35"/>
    <row r="2" spans="1:16" ht="15" thickBot="1" x14ac:dyDescent="0.35">
      <c r="A2" s="123" t="s">
        <v>72</v>
      </c>
      <c r="B2" s="124"/>
      <c r="C2" s="125"/>
      <c r="E2" s="28" t="s">
        <v>58</v>
      </c>
      <c r="F2" s="28"/>
      <c r="G2" s="28"/>
    </row>
    <row r="3" spans="1:16" ht="15" thickBot="1" x14ac:dyDescent="0.35">
      <c r="A3" s="73" t="s">
        <v>61</v>
      </c>
      <c r="B3" s="67">
        <v>397</v>
      </c>
      <c r="C3" s="70" t="s">
        <v>71</v>
      </c>
      <c r="E3" s="127" t="s">
        <v>20</v>
      </c>
      <c r="F3" s="127"/>
      <c r="G3" s="30">
        <f>ROUND((0.293*avgLebendGewicht^0.75),2)*365.25</f>
        <v>14953.334999999999</v>
      </c>
      <c r="H3" s="23" t="s">
        <v>6</v>
      </c>
      <c r="I3" s="97"/>
      <c r="J3" s="141" t="s">
        <v>113</v>
      </c>
      <c r="K3" s="141"/>
      <c r="L3" s="33"/>
    </row>
    <row r="4" spans="1:16" ht="15" thickBot="1" x14ac:dyDescent="0.35">
      <c r="A4" s="73" t="s">
        <v>59</v>
      </c>
      <c r="B4" s="69">
        <v>45</v>
      </c>
      <c r="C4" s="70" t="s">
        <v>71</v>
      </c>
      <c r="E4" s="127" t="s">
        <v>52</v>
      </c>
      <c r="F4" s="127"/>
      <c r="G4" s="30">
        <f>1500*365.25/zwischenKalbeTage</f>
        <v>1380.0377833753148</v>
      </c>
      <c r="H4" s="23" t="s">
        <v>6</v>
      </c>
      <c r="I4" s="27"/>
      <c r="J4" s="142" t="s">
        <v>85</v>
      </c>
      <c r="K4" s="142"/>
      <c r="L4" s="33"/>
      <c r="N4" s="61" t="s">
        <v>4</v>
      </c>
    </row>
    <row r="5" spans="1:16" ht="15" thickBot="1" x14ac:dyDescent="0.35">
      <c r="A5" s="73" t="s">
        <v>60</v>
      </c>
      <c r="B5" s="68">
        <f>zwischenKalbeTage-trockenStehTage</f>
        <v>352</v>
      </c>
      <c r="C5" s="71" t="s">
        <v>71</v>
      </c>
      <c r="E5" s="127" t="s">
        <v>22</v>
      </c>
      <c r="F5" s="127"/>
      <c r="G5" s="30">
        <f>milchLeistung*ROUND((1.066+0.38*fettGehalt+0.21*eiweissGehalt)*1.05,3)</f>
        <v>32130</v>
      </c>
      <c r="H5" s="23" t="s">
        <v>6</v>
      </c>
      <c r="I5" s="97"/>
      <c r="J5" s="143" t="s">
        <v>86</v>
      </c>
      <c r="K5" s="143"/>
      <c r="L5" s="33"/>
      <c r="N5" s="63" t="s">
        <v>108</v>
      </c>
      <c r="O5" s="64" t="s">
        <v>106</v>
      </c>
      <c r="P5" s="65" t="s">
        <v>107</v>
      </c>
    </row>
    <row r="6" spans="1:16" ht="14.4" customHeight="1" thickBot="1" x14ac:dyDescent="0.35">
      <c r="A6" s="73" t="s">
        <v>51</v>
      </c>
      <c r="B6" s="67">
        <v>9000</v>
      </c>
      <c r="C6" s="71" t="s">
        <v>70</v>
      </c>
      <c r="E6" s="128" t="s">
        <v>125</v>
      </c>
      <c r="F6" s="128"/>
      <c r="G6" s="150">
        <f>ROUND(SUM(G3:G5),0)</f>
        <v>48463</v>
      </c>
      <c r="H6" s="148" t="s">
        <v>6</v>
      </c>
      <c r="I6" s="27"/>
      <c r="J6" s="144" t="s">
        <v>87</v>
      </c>
      <c r="K6" s="144"/>
      <c r="L6" s="33"/>
      <c r="N6" t="s">
        <v>103</v>
      </c>
      <c r="O6">
        <v>6.69</v>
      </c>
      <c r="P6" s="62">
        <v>0.247</v>
      </c>
    </row>
    <row r="7" spans="1:16" ht="14.4" customHeight="1" thickBot="1" x14ac:dyDescent="0.35">
      <c r="A7" s="73" t="s">
        <v>25</v>
      </c>
      <c r="B7" s="67">
        <v>3.55</v>
      </c>
      <c r="C7" s="71" t="s">
        <v>54</v>
      </c>
      <c r="E7" s="128"/>
      <c r="F7" s="128"/>
      <c r="G7" s="151"/>
      <c r="H7" s="149"/>
      <c r="I7" s="27"/>
      <c r="J7" s="145" t="s">
        <v>89</v>
      </c>
      <c r="K7" s="145"/>
      <c r="L7" s="33"/>
      <c r="N7" t="s">
        <v>104</v>
      </c>
      <c r="O7">
        <v>7.52</v>
      </c>
      <c r="P7" s="62">
        <v>0.27</v>
      </c>
    </row>
    <row r="8" spans="1:16" ht="15" thickBot="1" x14ac:dyDescent="0.35">
      <c r="A8" s="73" t="s">
        <v>26</v>
      </c>
      <c r="B8" s="67">
        <v>4.18</v>
      </c>
      <c r="C8" s="71" t="s">
        <v>54</v>
      </c>
      <c r="E8" s="120" t="s">
        <v>123</v>
      </c>
      <c r="F8" s="120"/>
      <c r="G8" s="106">
        <f>ROUND(E71,3)</f>
        <v>-100.001</v>
      </c>
      <c r="H8" s="32" t="s">
        <v>54</v>
      </c>
      <c r="I8" s="122"/>
      <c r="J8" s="145"/>
      <c r="K8" s="145"/>
      <c r="L8" s="33"/>
      <c r="N8" t="s">
        <v>105</v>
      </c>
      <c r="O8">
        <v>7.07</v>
      </c>
      <c r="P8" s="62">
        <v>0.18</v>
      </c>
    </row>
    <row r="9" spans="1:16" ht="15" thickBot="1" x14ac:dyDescent="0.35">
      <c r="A9" s="73" t="s">
        <v>69</v>
      </c>
      <c r="B9" s="67">
        <v>725</v>
      </c>
      <c r="C9" s="72" t="s">
        <v>53</v>
      </c>
      <c r="E9" s="121" t="s">
        <v>124</v>
      </c>
      <c r="F9" s="121"/>
      <c r="G9" s="107">
        <f>energieBedarfGesamt*((G8/100)+1)</f>
        <v>-0.48463000000317491</v>
      </c>
      <c r="H9" s="47" t="s">
        <v>6</v>
      </c>
      <c r="I9" s="122"/>
      <c r="J9" s="92"/>
      <c r="K9" s="92"/>
      <c r="L9" s="33"/>
      <c r="P9" s="62"/>
    </row>
    <row r="10" spans="1:16" ht="15" thickBot="1" x14ac:dyDescent="0.35">
      <c r="A10" s="33"/>
      <c r="B10" s="99"/>
      <c r="C10" s="33"/>
      <c r="J10" s="92"/>
      <c r="K10" s="92"/>
      <c r="L10" s="33"/>
      <c r="P10" s="62"/>
    </row>
    <row r="11" spans="1:16" ht="15" thickBot="1" x14ac:dyDescent="0.35">
      <c r="G11" s="93"/>
      <c r="J11" s="146" t="s">
        <v>88</v>
      </c>
      <c r="K11" s="147"/>
      <c r="L11" s="33"/>
    </row>
    <row r="12" spans="1:16" ht="38.4" customHeight="1" x14ac:dyDescent="0.3">
      <c r="A12" s="22"/>
      <c r="B12" s="35" t="s">
        <v>76</v>
      </c>
      <c r="C12" s="36" t="s">
        <v>92</v>
      </c>
      <c r="D12" s="36" t="s">
        <v>91</v>
      </c>
      <c r="E12" s="37" t="s">
        <v>93</v>
      </c>
      <c r="F12" s="22"/>
      <c r="G12" s="22"/>
      <c r="H12" s="22"/>
      <c r="I12" s="22"/>
    </row>
    <row r="13" spans="1:16" x14ac:dyDescent="0.3">
      <c r="A13" s="38" t="s">
        <v>66</v>
      </c>
      <c r="B13" s="34">
        <f>trockenStehTage</f>
        <v>45</v>
      </c>
      <c r="C13" s="55">
        <v>0</v>
      </c>
      <c r="D13" s="34">
        <f>laktationsTage-starterTage-altmelkerTage</f>
        <v>352</v>
      </c>
      <c r="E13" s="54">
        <v>0</v>
      </c>
      <c r="F13" s="39"/>
      <c r="G13" s="22"/>
      <c r="H13" s="22"/>
      <c r="I13" s="22"/>
      <c r="J13" s="50"/>
    </row>
    <row r="14" spans="1:16" ht="28.8" x14ac:dyDescent="0.3">
      <c r="A14" s="32" t="s">
        <v>55</v>
      </c>
      <c r="B14" s="130" t="s">
        <v>79</v>
      </c>
      <c r="C14" s="130"/>
      <c r="D14" s="130"/>
      <c r="E14" s="130"/>
      <c r="F14" s="40" t="s">
        <v>90</v>
      </c>
      <c r="G14" s="41" t="s">
        <v>75</v>
      </c>
      <c r="H14" s="49" t="s">
        <v>126</v>
      </c>
      <c r="I14" s="60" t="s">
        <v>107</v>
      </c>
    </row>
    <row r="15" spans="1:16" ht="15" thickBot="1" x14ac:dyDescent="0.35">
      <c r="A15" s="132" t="s">
        <v>109</v>
      </c>
      <c r="B15" s="133"/>
      <c r="C15" s="133"/>
      <c r="D15" s="133"/>
      <c r="E15" s="133"/>
      <c r="F15" s="134"/>
      <c r="G15" s="133"/>
      <c r="H15" s="133"/>
      <c r="I15" s="133"/>
    </row>
    <row r="16" spans="1:16" x14ac:dyDescent="0.3">
      <c r="A16" s="74" t="s">
        <v>0</v>
      </c>
      <c r="B16" s="52">
        <v>0</v>
      </c>
      <c r="C16" s="52">
        <v>0</v>
      </c>
      <c r="D16" s="52">
        <v>0</v>
      </c>
      <c r="E16" s="81">
        <v>0</v>
      </c>
      <c r="F16" s="109">
        <f t="shared" ref="F16:F30" si="0">ROUND(((B16*trockenStehTage+C16*starterTage+D16*hochLeistungsTage+E16*altmelkerTage)/zwischenKalbeTage),2)</f>
        <v>0</v>
      </c>
      <c r="G16" s="108">
        <f>ROUND(ROUND(ROUND(F16*365.25,0)*I16,5)*H16,0)</f>
        <v>0</v>
      </c>
      <c r="H16" s="78">
        <v>8.19</v>
      </c>
      <c r="I16" s="76">
        <v>0.88</v>
      </c>
      <c r="J16" s="96"/>
      <c r="K16" s="61" t="s">
        <v>121</v>
      </c>
    </row>
    <row r="17" spans="1:12" x14ac:dyDescent="0.3">
      <c r="A17" s="74" t="s">
        <v>44</v>
      </c>
      <c r="B17" s="52">
        <v>0</v>
      </c>
      <c r="C17" s="52">
        <v>0</v>
      </c>
      <c r="D17" s="52">
        <v>0</v>
      </c>
      <c r="E17" s="81">
        <v>0</v>
      </c>
      <c r="F17" s="110">
        <f t="shared" si="0"/>
        <v>0</v>
      </c>
      <c r="G17" s="108">
        <f t="shared" ref="G17:G30" si="1">ROUND(ROUND(ROUND(F17*365.25,0)*I17,5)*H17,0)</f>
        <v>0</v>
      </c>
      <c r="H17" s="78">
        <v>8.5299999999999994</v>
      </c>
      <c r="I17" s="76">
        <v>0.88</v>
      </c>
    </row>
    <row r="18" spans="1:12" x14ac:dyDescent="0.3">
      <c r="A18" s="74" t="s">
        <v>94</v>
      </c>
      <c r="B18" s="52">
        <v>0</v>
      </c>
      <c r="C18" s="52">
        <v>0</v>
      </c>
      <c r="D18" s="52">
        <v>0</v>
      </c>
      <c r="E18" s="81">
        <v>0</v>
      </c>
      <c r="F18" s="110">
        <f t="shared" si="0"/>
        <v>0</v>
      </c>
      <c r="G18" s="108">
        <f t="shared" si="1"/>
        <v>0</v>
      </c>
      <c r="H18" s="78">
        <v>8.35</v>
      </c>
      <c r="I18" s="76">
        <v>0.88</v>
      </c>
      <c r="K18" s="23" t="s">
        <v>122</v>
      </c>
      <c r="L18" s="90">
        <v>100</v>
      </c>
    </row>
    <row r="19" spans="1:12" x14ac:dyDescent="0.3">
      <c r="A19" s="74" t="s">
        <v>95</v>
      </c>
      <c r="B19" s="52">
        <v>0</v>
      </c>
      <c r="C19" s="52">
        <v>0</v>
      </c>
      <c r="D19" s="52">
        <v>0</v>
      </c>
      <c r="E19" s="81">
        <v>0</v>
      </c>
      <c r="F19" s="110">
        <f t="shared" si="0"/>
        <v>0</v>
      </c>
      <c r="G19" s="108">
        <f t="shared" si="1"/>
        <v>0</v>
      </c>
      <c r="H19" s="78">
        <v>6.08</v>
      </c>
      <c r="I19" s="76">
        <v>0.88</v>
      </c>
      <c r="K19" s="23" t="s">
        <v>121</v>
      </c>
      <c r="L19" s="91">
        <f>L18/365.25*zwischenKalbeTage</f>
        <v>108.69267624914441</v>
      </c>
    </row>
    <row r="20" spans="1:12" x14ac:dyDescent="0.3">
      <c r="A20" s="74" t="s">
        <v>96</v>
      </c>
      <c r="B20" s="52">
        <v>0</v>
      </c>
      <c r="C20" s="52">
        <v>0</v>
      </c>
      <c r="D20" s="52">
        <v>0</v>
      </c>
      <c r="E20" s="81">
        <v>0</v>
      </c>
      <c r="F20" s="110">
        <f t="shared" si="0"/>
        <v>0</v>
      </c>
      <c r="G20" s="108">
        <f t="shared" si="1"/>
        <v>0</v>
      </c>
      <c r="H20" s="78">
        <v>7.46</v>
      </c>
      <c r="I20" s="76">
        <v>0.91600000000000004</v>
      </c>
    </row>
    <row r="21" spans="1:12" x14ac:dyDescent="0.3">
      <c r="A21" s="74" t="s">
        <v>97</v>
      </c>
      <c r="B21" s="52">
        <v>0</v>
      </c>
      <c r="C21" s="52">
        <v>0</v>
      </c>
      <c r="D21" s="52">
        <v>0</v>
      </c>
      <c r="E21" s="81">
        <v>0</v>
      </c>
      <c r="F21" s="110">
        <f t="shared" si="0"/>
        <v>0</v>
      </c>
      <c r="G21" s="108">
        <f t="shared" si="1"/>
        <v>0</v>
      </c>
      <c r="H21" s="78">
        <v>7.84</v>
      </c>
      <c r="I21" s="76">
        <v>0.78</v>
      </c>
    </row>
    <row r="22" spans="1:12" x14ac:dyDescent="0.3">
      <c r="A22" s="74" t="s">
        <v>114</v>
      </c>
      <c r="B22" s="52">
        <v>0</v>
      </c>
      <c r="C22" s="52">
        <v>0</v>
      </c>
      <c r="D22" s="52">
        <v>0</v>
      </c>
      <c r="E22" s="81">
        <v>0</v>
      </c>
      <c r="F22" s="110">
        <f t="shared" si="0"/>
        <v>0</v>
      </c>
      <c r="G22" s="108">
        <f t="shared" si="1"/>
        <v>0</v>
      </c>
      <c r="H22" s="78">
        <v>7.93</v>
      </c>
      <c r="I22" s="76">
        <v>0.88</v>
      </c>
    </row>
    <row r="23" spans="1:12" x14ac:dyDescent="0.3">
      <c r="A23" s="74" t="s">
        <v>98</v>
      </c>
      <c r="B23" s="52">
        <v>0</v>
      </c>
      <c r="C23" s="52">
        <v>0</v>
      </c>
      <c r="D23" s="52">
        <v>0</v>
      </c>
      <c r="E23" s="81">
        <v>0</v>
      </c>
      <c r="F23" s="110">
        <f t="shared" si="0"/>
        <v>0</v>
      </c>
      <c r="G23" s="108">
        <f>ROUND(ROUND(ROUND(F23*365.25,0)*I23,5)*H23,0)</f>
        <v>0</v>
      </c>
      <c r="H23" s="78">
        <v>7.6</v>
      </c>
      <c r="I23" s="76">
        <v>0.88</v>
      </c>
      <c r="J23" s="96"/>
    </row>
    <row r="24" spans="1:12" x14ac:dyDescent="0.3">
      <c r="A24" s="74" t="s">
        <v>115</v>
      </c>
      <c r="B24" s="52">
        <v>0</v>
      </c>
      <c r="C24" s="52">
        <v>0</v>
      </c>
      <c r="D24" s="52">
        <v>0</v>
      </c>
      <c r="E24" s="81">
        <v>0</v>
      </c>
      <c r="F24" s="110">
        <f t="shared" si="0"/>
        <v>0</v>
      </c>
      <c r="G24" s="108">
        <f t="shared" si="1"/>
        <v>0</v>
      </c>
      <c r="H24" s="78">
        <v>7.91</v>
      </c>
      <c r="I24" s="76">
        <v>0.88</v>
      </c>
    </row>
    <row r="25" spans="1:12" x14ac:dyDescent="0.3">
      <c r="A25" s="74" t="s">
        <v>116</v>
      </c>
      <c r="B25" s="52">
        <v>0</v>
      </c>
      <c r="C25" s="52">
        <v>0</v>
      </c>
      <c r="D25" s="52">
        <v>0</v>
      </c>
      <c r="E25" s="81">
        <v>0</v>
      </c>
      <c r="F25" s="110">
        <f t="shared" si="0"/>
        <v>0</v>
      </c>
      <c r="G25" s="108">
        <f t="shared" si="1"/>
        <v>0</v>
      </c>
      <c r="H25" s="78">
        <v>7.59</v>
      </c>
      <c r="I25" s="76">
        <v>0.88</v>
      </c>
    </row>
    <row r="26" spans="1:12" x14ac:dyDescent="0.3">
      <c r="A26" s="74" t="s">
        <v>117</v>
      </c>
      <c r="B26" s="52">
        <v>0</v>
      </c>
      <c r="C26" s="52">
        <v>0</v>
      </c>
      <c r="D26" s="52">
        <v>0</v>
      </c>
      <c r="E26" s="81">
        <v>0</v>
      </c>
      <c r="F26" s="110">
        <f t="shared" si="0"/>
        <v>0</v>
      </c>
      <c r="G26" s="108">
        <f t="shared" si="1"/>
        <v>0</v>
      </c>
      <c r="H26" s="78">
        <v>7.9</v>
      </c>
      <c r="I26" s="76">
        <v>0.88</v>
      </c>
    </row>
    <row r="27" spans="1:12" x14ac:dyDescent="0.3">
      <c r="A27" s="74" t="s">
        <v>118</v>
      </c>
      <c r="B27" s="52">
        <v>0</v>
      </c>
      <c r="C27" s="52">
        <v>0</v>
      </c>
      <c r="D27" s="52">
        <v>0</v>
      </c>
      <c r="E27" s="81">
        <v>0</v>
      </c>
      <c r="F27" s="110">
        <f t="shared" si="0"/>
        <v>0</v>
      </c>
      <c r="G27" s="108">
        <f t="shared" si="1"/>
        <v>0</v>
      </c>
      <c r="H27" s="78">
        <v>7.91</v>
      </c>
      <c r="I27" s="76">
        <v>0.88</v>
      </c>
    </row>
    <row r="28" spans="1:12" x14ac:dyDescent="0.3">
      <c r="A28" s="74" t="s">
        <v>99</v>
      </c>
      <c r="B28" s="52">
        <v>0</v>
      </c>
      <c r="C28" s="52">
        <v>0</v>
      </c>
      <c r="D28" s="52">
        <v>0</v>
      </c>
      <c r="E28" s="81">
        <v>0</v>
      </c>
      <c r="F28" s="110">
        <f t="shared" si="0"/>
        <v>0</v>
      </c>
      <c r="G28" s="108">
        <f t="shared" si="1"/>
        <v>0</v>
      </c>
      <c r="H28" s="78">
        <v>7.01</v>
      </c>
      <c r="I28" s="76">
        <v>0.88</v>
      </c>
    </row>
    <row r="29" spans="1:12" x14ac:dyDescent="0.3">
      <c r="A29" s="74" t="s">
        <v>119</v>
      </c>
      <c r="B29" s="52">
        <v>0</v>
      </c>
      <c r="C29" s="52">
        <v>0</v>
      </c>
      <c r="D29" s="52">
        <v>0</v>
      </c>
      <c r="E29" s="81">
        <v>0</v>
      </c>
      <c r="F29" s="110">
        <f t="shared" si="0"/>
        <v>0</v>
      </c>
      <c r="G29" s="108">
        <f t="shared" si="1"/>
        <v>0</v>
      </c>
      <c r="H29" s="78">
        <v>7.85</v>
      </c>
      <c r="I29" s="76">
        <v>0.88</v>
      </c>
    </row>
    <row r="30" spans="1:12" ht="15" thickBot="1" x14ac:dyDescent="0.35">
      <c r="A30" s="74" t="s">
        <v>45</v>
      </c>
      <c r="B30" s="52">
        <v>0</v>
      </c>
      <c r="C30" s="52">
        <v>0</v>
      </c>
      <c r="D30" s="52">
        <v>0</v>
      </c>
      <c r="E30" s="81">
        <v>0</v>
      </c>
      <c r="F30" s="111">
        <f t="shared" si="0"/>
        <v>0</v>
      </c>
      <c r="G30" s="108">
        <f t="shared" si="1"/>
        <v>0</v>
      </c>
      <c r="H30" s="78">
        <v>8.43</v>
      </c>
      <c r="I30" s="76">
        <v>0.88</v>
      </c>
    </row>
    <row r="31" spans="1:12" ht="15" thickBot="1" x14ac:dyDescent="0.35">
      <c r="A31" s="135" t="s">
        <v>110</v>
      </c>
      <c r="B31" s="136"/>
      <c r="C31" s="136"/>
      <c r="D31" s="136"/>
      <c r="E31" s="136"/>
      <c r="F31" s="134"/>
      <c r="G31" s="136"/>
      <c r="H31" s="136"/>
      <c r="I31" s="137"/>
    </row>
    <row r="32" spans="1:12" x14ac:dyDescent="0.3">
      <c r="A32" s="74" t="s">
        <v>47</v>
      </c>
      <c r="B32" s="52">
        <v>0</v>
      </c>
      <c r="C32" s="52">
        <v>0</v>
      </c>
      <c r="D32" s="52">
        <v>0</v>
      </c>
      <c r="E32" s="81">
        <v>0</v>
      </c>
      <c r="F32" s="109">
        <f>ROUND(((B32*trockenStehTage+C32*starterTage+D32*hochLeistungsTage+E32*altmelkerTage)/zwischenKalbeTage),2)</f>
        <v>0</v>
      </c>
      <c r="G32" s="108">
        <f t="shared" ref="G32:G40" si="2">ROUND(ROUND(ROUND(F32*365.25,0)*I32,3)*H32,0)</f>
        <v>0</v>
      </c>
      <c r="H32" s="78">
        <v>7.16</v>
      </c>
      <c r="I32" s="76">
        <v>0.89</v>
      </c>
    </row>
    <row r="33" spans="1:10" x14ac:dyDescent="0.3">
      <c r="A33" s="74" t="s">
        <v>62</v>
      </c>
      <c r="B33" s="52">
        <v>0</v>
      </c>
      <c r="C33" s="52">
        <v>0</v>
      </c>
      <c r="D33" s="52">
        <v>0</v>
      </c>
      <c r="E33" s="81">
        <v>0</v>
      </c>
      <c r="F33" s="110">
        <f>ROUND(((B33*trockenStehTage+C33*starterTage+D33*hochLeistungsTage+E33*altmelkerTage)/zwischenKalbeTage),2)</f>
        <v>0</v>
      </c>
      <c r="G33" s="108">
        <f t="shared" si="2"/>
        <v>0</v>
      </c>
      <c r="H33" s="78">
        <v>8.59</v>
      </c>
      <c r="I33" s="76">
        <v>0.88</v>
      </c>
    </row>
    <row r="34" spans="1:10" x14ac:dyDescent="0.3">
      <c r="A34" s="74" t="s">
        <v>65</v>
      </c>
      <c r="B34" s="52">
        <v>0</v>
      </c>
      <c r="C34" s="52">
        <v>0</v>
      </c>
      <c r="D34" s="52">
        <v>0</v>
      </c>
      <c r="E34" s="81">
        <v>0</v>
      </c>
      <c r="F34" s="110">
        <f>ROUND(((B34*trockenStehTage+C34*starterTage+D34*hochLeistungsTage+E34*altmelkerTage)/zwischenKalbeTage),2)</f>
        <v>0</v>
      </c>
      <c r="G34" s="108">
        <f t="shared" si="2"/>
        <v>0</v>
      </c>
      <c r="H34" s="78">
        <v>8.59</v>
      </c>
      <c r="I34" s="76">
        <v>0.88</v>
      </c>
    </row>
    <row r="35" spans="1:10" ht="15" thickBot="1" x14ac:dyDescent="0.35">
      <c r="A35" s="74" t="s">
        <v>100</v>
      </c>
      <c r="B35" s="52">
        <v>0</v>
      </c>
      <c r="C35" s="52">
        <v>0</v>
      </c>
      <c r="D35" s="52">
        <v>0</v>
      </c>
      <c r="E35" s="81">
        <v>0</v>
      </c>
      <c r="F35" s="111">
        <f>ROUND(((B35*trockenStehTage+C35*starterTage+D35*hochLeistungsTage+E35*altmelkerTage)/zwischenKalbeTage),2)</f>
        <v>0</v>
      </c>
      <c r="G35" s="108">
        <f t="shared" si="2"/>
        <v>0</v>
      </c>
      <c r="H35" s="78">
        <v>8.48</v>
      </c>
      <c r="I35" s="76">
        <v>0.88</v>
      </c>
    </row>
    <row r="36" spans="1:10" ht="15" thickBot="1" x14ac:dyDescent="0.35">
      <c r="A36" s="135" t="s">
        <v>111</v>
      </c>
      <c r="B36" s="136"/>
      <c r="C36" s="136"/>
      <c r="D36" s="136"/>
      <c r="E36" s="136"/>
      <c r="F36" s="134"/>
      <c r="G36" s="136"/>
      <c r="H36" s="136"/>
      <c r="I36" s="137"/>
    </row>
    <row r="37" spans="1:10" x14ac:dyDescent="0.3">
      <c r="A37" s="74" t="s">
        <v>101</v>
      </c>
      <c r="B37" s="52">
        <v>0</v>
      </c>
      <c r="C37" s="52">
        <v>0</v>
      </c>
      <c r="D37" s="52">
        <v>0</v>
      </c>
      <c r="E37" s="81">
        <v>0</v>
      </c>
      <c r="F37" s="109">
        <f>ROUND(((B37*trockenStehTage+C37*starterTage+D37*hochLeistungsTage+E37*altmelkerTage)/zwischenKalbeTage),2)</f>
        <v>0</v>
      </c>
      <c r="G37" s="108">
        <f t="shared" si="2"/>
        <v>0</v>
      </c>
      <c r="H37" s="78">
        <v>9.7899999999999991</v>
      </c>
      <c r="I37" s="76">
        <v>0.99</v>
      </c>
    </row>
    <row r="38" spans="1:10" x14ac:dyDescent="0.3">
      <c r="A38" s="74" t="s">
        <v>56</v>
      </c>
      <c r="B38" s="52">
        <v>0</v>
      </c>
      <c r="C38" s="52">
        <v>0</v>
      </c>
      <c r="D38" s="52">
        <v>0</v>
      </c>
      <c r="E38" s="81">
        <v>0</v>
      </c>
      <c r="F38" s="112">
        <f>ROUND(((B38*trockenStehTage+C38*starterTage+D38*hochLeistungsTage+E38*altmelkerTage)/zwischenKalbeTage),2)</f>
        <v>0</v>
      </c>
      <c r="G38" s="108">
        <f t="shared" si="2"/>
        <v>0</v>
      </c>
      <c r="H38" s="78">
        <v>0</v>
      </c>
      <c r="I38" s="76">
        <v>0.88</v>
      </c>
    </row>
    <row r="39" spans="1:10" x14ac:dyDescent="0.3">
      <c r="A39" s="74" t="s">
        <v>57</v>
      </c>
      <c r="B39" s="52">
        <v>0</v>
      </c>
      <c r="C39" s="52">
        <v>0</v>
      </c>
      <c r="D39" s="52">
        <v>0</v>
      </c>
      <c r="E39" s="81">
        <v>0</v>
      </c>
      <c r="F39" s="112">
        <f>ROUND(((B39*trockenStehTage+C39*starterTage+D39*hochLeistungsTage+E39*altmelkerTage)/zwischenKalbeTage),2)</f>
        <v>0</v>
      </c>
      <c r="G39" s="108">
        <f t="shared" si="2"/>
        <v>0</v>
      </c>
      <c r="H39" s="78">
        <v>0</v>
      </c>
      <c r="I39" s="76">
        <v>0.88</v>
      </c>
    </row>
    <row r="40" spans="1:10" ht="15" thickBot="1" x14ac:dyDescent="0.35">
      <c r="A40" s="74" t="s">
        <v>2</v>
      </c>
      <c r="B40" s="52">
        <v>0</v>
      </c>
      <c r="C40" s="52">
        <v>0</v>
      </c>
      <c r="D40" s="52">
        <v>0</v>
      </c>
      <c r="E40" s="81">
        <v>0</v>
      </c>
      <c r="F40" s="111">
        <f>ROUND(((B40*trockenStehTage+C40*starterTage+D40*hochLeistungsTage+E40*altmelkerTage)/zwischenKalbeTage),2)</f>
        <v>0</v>
      </c>
      <c r="G40" s="108">
        <f t="shared" si="2"/>
        <v>0</v>
      </c>
      <c r="H40" s="78">
        <v>0</v>
      </c>
      <c r="I40" s="76">
        <v>0.95</v>
      </c>
    </row>
    <row r="41" spans="1:10" x14ac:dyDescent="0.3">
      <c r="A41" s="77" t="s">
        <v>74</v>
      </c>
      <c r="B41" s="42">
        <f t="shared" ref="B41:F41" si="3">SUM(B16:B40)</f>
        <v>0</v>
      </c>
      <c r="C41" s="24">
        <f t="shared" si="3"/>
        <v>0</v>
      </c>
      <c r="D41" s="42">
        <f t="shared" si="3"/>
        <v>0</v>
      </c>
      <c r="E41" s="42">
        <f t="shared" si="3"/>
        <v>0</v>
      </c>
      <c r="F41" s="83">
        <f t="shared" si="3"/>
        <v>0</v>
      </c>
      <c r="G41" s="75">
        <f>SUM(G16:G40)</f>
        <v>0</v>
      </c>
      <c r="H41" s="43"/>
      <c r="I41" s="32"/>
    </row>
    <row r="42" spans="1:10" x14ac:dyDescent="0.3">
      <c r="A42" s="22"/>
      <c r="B42" s="22"/>
      <c r="C42" s="22"/>
      <c r="D42" s="22"/>
      <c r="E42" s="22"/>
    </row>
    <row r="43" spans="1:10" ht="29.4" thickBot="1" x14ac:dyDescent="0.35">
      <c r="A43" s="66" t="s">
        <v>112</v>
      </c>
      <c r="B43" s="130" t="s">
        <v>79</v>
      </c>
      <c r="C43" s="130"/>
      <c r="D43" s="130"/>
      <c r="E43" s="130"/>
      <c r="F43" s="113" t="s">
        <v>67</v>
      </c>
      <c r="G43" s="59" t="s">
        <v>75</v>
      </c>
      <c r="H43" s="60" t="s">
        <v>128</v>
      </c>
      <c r="I43" s="45" t="s">
        <v>82</v>
      </c>
      <c r="J43" s="119"/>
    </row>
    <row r="44" spans="1:10" ht="15" thickBot="1" x14ac:dyDescent="0.35">
      <c r="A44" s="74" t="s">
        <v>105</v>
      </c>
      <c r="B44" s="52">
        <v>0</v>
      </c>
      <c r="C44" s="52">
        <v>0</v>
      </c>
      <c r="D44" s="52">
        <v>0</v>
      </c>
      <c r="E44" s="89">
        <v>0</v>
      </c>
      <c r="F44" s="116">
        <f>(((B44*trockenStehTage+C44*starterTage+D44*hochLeistungsTage+E44*altmelkerTage)/zwischenKalbeTage)*365.25)/100</f>
        <v>0</v>
      </c>
      <c r="G44" s="82">
        <f>(F44*100*I44)*H44</f>
        <v>0</v>
      </c>
      <c r="H44" s="79">
        <v>6.69</v>
      </c>
      <c r="I44" s="80">
        <v>0.247</v>
      </c>
      <c r="J44" s="119"/>
    </row>
    <row r="45" spans="1:10" s="22" customFormat="1" x14ac:dyDescent="0.3">
      <c r="F45" s="114"/>
      <c r="G45" s="25"/>
    </row>
    <row r="46" spans="1:10" s="22" customFormat="1" x14ac:dyDescent="0.3">
      <c r="G46" s="25"/>
    </row>
    <row r="47" spans="1:10" s="22" customFormat="1" x14ac:dyDescent="0.3">
      <c r="A47" s="140" t="s">
        <v>73</v>
      </c>
      <c r="B47" s="140"/>
      <c r="C47" s="140"/>
      <c r="D47" s="29" t="s">
        <v>17</v>
      </c>
      <c r="F47" s="25"/>
    </row>
    <row r="48" spans="1:10" s="22" customFormat="1" x14ac:dyDescent="0.3">
      <c r="A48" s="127" t="s">
        <v>10</v>
      </c>
      <c r="B48" s="127"/>
      <c r="C48" s="127"/>
      <c r="D48" s="30">
        <f>energieKraftMineralFutter</f>
        <v>0</v>
      </c>
      <c r="G48" s="25"/>
    </row>
    <row r="49" spans="1:13" s="22" customFormat="1" x14ac:dyDescent="0.3">
      <c r="A49" s="127" t="s">
        <v>11</v>
      </c>
      <c r="B49" s="127"/>
      <c r="C49" s="127"/>
      <c r="D49" s="30">
        <f>energieSaftFutter</f>
        <v>0</v>
      </c>
      <c r="G49" s="25"/>
      <c r="I49" s="25"/>
    </row>
    <row r="50" spans="1:13" s="22" customFormat="1" x14ac:dyDescent="0.3">
      <c r="A50" s="127" t="s">
        <v>12</v>
      </c>
      <c r="B50" s="127"/>
      <c r="C50" s="127"/>
      <c r="D50" s="30">
        <f>energieBedarfLeistung-energieKraftMineralFutter-energieSaftFutter</f>
        <v>32130</v>
      </c>
      <c r="E50" s="95"/>
      <c r="G50" s="25"/>
    </row>
    <row r="51" spans="1:13" s="22" customFormat="1" ht="27.6" customHeight="1" x14ac:dyDescent="0.3">
      <c r="A51" s="129" t="s">
        <v>13</v>
      </c>
      <c r="B51" s="129"/>
      <c r="C51" s="129"/>
      <c r="D51" s="30">
        <f>energieBedarfErhaltung+energieBedarfRepro</f>
        <v>16333.372783375315</v>
      </c>
    </row>
    <row r="52" spans="1:13" s="22" customFormat="1" x14ac:dyDescent="0.3">
      <c r="A52" s="131" t="s">
        <v>14</v>
      </c>
      <c r="B52" s="131"/>
      <c r="C52" s="131"/>
      <c r="D52" s="31">
        <f>D50+D51</f>
        <v>48463.372783375315</v>
      </c>
      <c r="E52" s="104"/>
      <c r="G52" s="25"/>
    </row>
    <row r="53" spans="1:13" s="22" customFormat="1" ht="15" thickBot="1" x14ac:dyDescent="0.35">
      <c r="A53"/>
      <c r="C53" s="21"/>
    </row>
    <row r="54" spans="1:13" ht="40.950000000000003" customHeight="1" x14ac:dyDescent="0.3">
      <c r="A54" s="22"/>
      <c r="B54" s="35" t="s">
        <v>76</v>
      </c>
      <c r="C54" s="36" t="s">
        <v>92</v>
      </c>
      <c r="D54" s="36" t="s">
        <v>91</v>
      </c>
      <c r="E54" s="37" t="s">
        <v>93</v>
      </c>
      <c r="F54" s="22"/>
      <c r="G54" s="22"/>
      <c r="H54" s="22"/>
      <c r="I54" s="22"/>
    </row>
    <row r="55" spans="1:13" ht="13.2" customHeight="1" x14ac:dyDescent="0.3">
      <c r="A55" s="32" t="s">
        <v>77</v>
      </c>
      <c r="B55" s="24">
        <v>30</v>
      </c>
      <c r="C55" s="24">
        <v>14</v>
      </c>
      <c r="D55" s="24">
        <f>D13</f>
        <v>352</v>
      </c>
      <c r="E55" s="24">
        <f>E13</f>
        <v>0</v>
      </c>
      <c r="F55" s="26"/>
      <c r="G55" s="44"/>
      <c r="H55" s="39"/>
      <c r="I55" s="26"/>
    </row>
    <row r="56" spans="1:13" ht="58.95" customHeight="1" thickBot="1" x14ac:dyDescent="0.35">
      <c r="A56" s="47" t="s">
        <v>55</v>
      </c>
      <c r="B56" s="126" t="s">
        <v>83</v>
      </c>
      <c r="C56" s="126"/>
      <c r="D56" s="126"/>
      <c r="E56" s="126"/>
      <c r="F56" s="41" t="s">
        <v>78</v>
      </c>
      <c r="G56" s="87" t="s">
        <v>68</v>
      </c>
      <c r="H56" s="41" t="s">
        <v>80</v>
      </c>
      <c r="I56" s="56" t="s">
        <v>84</v>
      </c>
    </row>
    <row r="57" spans="1:13" x14ac:dyDescent="0.3">
      <c r="A57" s="74" t="s">
        <v>27</v>
      </c>
      <c r="B57" s="52">
        <v>0</v>
      </c>
      <c r="C57" s="53">
        <v>0</v>
      </c>
      <c r="D57" s="53">
        <v>0</v>
      </c>
      <c r="E57" s="53">
        <v>0</v>
      </c>
      <c r="F57" s="98">
        <f>((B57*trockenStehTage+C57*starterTage+D57*hochLeistungsTage+E57*altmelkerTage)/zwischenKalbeTage)*I57</f>
        <v>0</v>
      </c>
      <c r="G57" s="101" t="e">
        <f>(F57*365.25*H57)/energieBedarfGrobFutterMitZuschlag</f>
        <v>#DIV/0!</v>
      </c>
      <c r="H57" s="85">
        <v>6.09</v>
      </c>
      <c r="I57" s="58">
        <v>0.35</v>
      </c>
    </row>
    <row r="58" spans="1:13" x14ac:dyDescent="0.3">
      <c r="A58" s="74" t="s">
        <v>28</v>
      </c>
      <c r="B58" s="52">
        <v>0</v>
      </c>
      <c r="C58" s="53">
        <v>0</v>
      </c>
      <c r="D58" s="53">
        <v>0</v>
      </c>
      <c r="E58" s="53">
        <v>0</v>
      </c>
      <c r="F58" s="84">
        <f>((B58*trockenStehTage+C58*starterTage+D58*hochLeistungsTage+E58*altmelkerTage)/zwischenKalbeTage)*I58</f>
        <v>0</v>
      </c>
      <c r="G58" s="102" t="e">
        <f t="shared" ref="G58:G65" si="4">(F58*365.25*H58)/energieBedarfGrobFutterMitZuschlag</f>
        <v>#DIV/0!</v>
      </c>
      <c r="H58" s="85">
        <v>5.16</v>
      </c>
      <c r="I58" s="58">
        <v>0.86</v>
      </c>
    </row>
    <row r="59" spans="1:13" x14ac:dyDescent="0.3">
      <c r="A59" s="74" t="s">
        <v>29</v>
      </c>
      <c r="B59" s="52">
        <v>0</v>
      </c>
      <c r="C59" s="53">
        <v>0</v>
      </c>
      <c r="D59" s="53">
        <v>0</v>
      </c>
      <c r="E59" s="53">
        <v>0</v>
      </c>
      <c r="F59" s="84">
        <f t="shared" ref="F59:F65" si="5">((B59*trockenStehTage+C59*starterTage+D59*hochLeistungsTage+E59*altmelkerTage)/zwischenKalbeTage)*I59</f>
        <v>0</v>
      </c>
      <c r="G59" s="102" t="e">
        <f t="shared" si="4"/>
        <v>#DIV/0!</v>
      </c>
      <c r="H59" s="85">
        <v>6.64</v>
      </c>
      <c r="I59" s="58">
        <v>0.35</v>
      </c>
    </row>
    <row r="60" spans="1:13" x14ac:dyDescent="0.3">
      <c r="A60" s="74" t="s">
        <v>30</v>
      </c>
      <c r="B60" s="52">
        <v>0</v>
      </c>
      <c r="C60" s="53">
        <v>0</v>
      </c>
      <c r="D60" s="53">
        <v>0</v>
      </c>
      <c r="E60" s="53">
        <v>0</v>
      </c>
      <c r="F60" s="84">
        <f t="shared" si="5"/>
        <v>0</v>
      </c>
      <c r="G60" s="102" t="e">
        <f t="shared" si="4"/>
        <v>#DIV/0!</v>
      </c>
      <c r="H60" s="85">
        <v>3.7</v>
      </c>
      <c r="I60" s="58">
        <v>0.86</v>
      </c>
      <c r="M60" s="4"/>
    </row>
    <row r="61" spans="1:13" x14ac:dyDescent="0.3">
      <c r="A61" s="74" t="s">
        <v>31</v>
      </c>
      <c r="B61" s="52">
        <v>0</v>
      </c>
      <c r="C61" s="53">
        <v>0</v>
      </c>
      <c r="D61" s="53">
        <v>0</v>
      </c>
      <c r="E61" s="53">
        <v>0</v>
      </c>
      <c r="F61" s="84">
        <f t="shared" si="5"/>
        <v>0</v>
      </c>
      <c r="G61" s="102" t="e">
        <f t="shared" si="4"/>
        <v>#DIV/0!</v>
      </c>
      <c r="H61" s="85">
        <v>6.29</v>
      </c>
      <c r="I61" s="58">
        <v>0.35</v>
      </c>
    </row>
    <row r="62" spans="1:13" x14ac:dyDescent="0.3">
      <c r="A62" s="74" t="s">
        <v>32</v>
      </c>
      <c r="B62" s="52">
        <v>0</v>
      </c>
      <c r="C62" s="53">
        <v>0</v>
      </c>
      <c r="D62" s="53">
        <v>0</v>
      </c>
      <c r="E62" s="53">
        <v>0</v>
      </c>
      <c r="F62" s="84">
        <f t="shared" si="5"/>
        <v>0</v>
      </c>
      <c r="G62" s="102" t="e">
        <f>(F62*365.25*H62)/energieBedarfGrobFutterMitZuschlag</f>
        <v>#DIV/0!</v>
      </c>
      <c r="H62" s="85">
        <v>6.53</v>
      </c>
      <c r="I62" s="58">
        <v>0.16</v>
      </c>
      <c r="M62" s="3"/>
    </row>
    <row r="63" spans="1:13" x14ac:dyDescent="0.3">
      <c r="A63" s="74" t="s">
        <v>102</v>
      </c>
      <c r="B63" s="52">
        <v>0</v>
      </c>
      <c r="C63" s="53">
        <v>0</v>
      </c>
      <c r="D63" s="53">
        <v>0</v>
      </c>
      <c r="E63" s="53">
        <v>0</v>
      </c>
      <c r="F63" s="84">
        <f>((B63*trockenStehTage+C63*starterTage+D63*hochLeistungsTage+E63*altmelkerTage)/zwischenKalbeTage)*I63</f>
        <v>0</v>
      </c>
      <c r="G63" s="102" t="e">
        <f>(F63*365.25*H63)/energieBedarfGrobFutterMitZuschlag</f>
        <v>#DIV/0!</v>
      </c>
      <c r="H63" s="85">
        <v>5.67</v>
      </c>
      <c r="I63" s="58">
        <v>0.35</v>
      </c>
    </row>
    <row r="64" spans="1:13" x14ac:dyDescent="0.3">
      <c r="A64" s="74" t="s">
        <v>63</v>
      </c>
      <c r="B64" s="52">
        <v>0</v>
      </c>
      <c r="C64" s="53">
        <v>0</v>
      </c>
      <c r="D64" s="53">
        <v>0</v>
      </c>
      <c r="E64" s="53">
        <v>0</v>
      </c>
      <c r="F64" s="84">
        <f t="shared" si="5"/>
        <v>0</v>
      </c>
      <c r="G64" s="102" t="e">
        <f t="shared" si="4"/>
        <v>#DIV/0!</v>
      </c>
      <c r="H64" s="86">
        <v>0</v>
      </c>
      <c r="I64" s="58">
        <v>0</v>
      </c>
    </row>
    <row r="65" spans="1:9" ht="15" thickBot="1" x14ac:dyDescent="0.35">
      <c r="A65" s="74" t="s">
        <v>64</v>
      </c>
      <c r="B65" s="52">
        <v>0</v>
      </c>
      <c r="C65" s="53">
        <v>0</v>
      </c>
      <c r="D65" s="53">
        <v>0</v>
      </c>
      <c r="E65" s="53">
        <v>0</v>
      </c>
      <c r="F65" s="84">
        <f t="shared" si="5"/>
        <v>0</v>
      </c>
      <c r="G65" s="103" t="e">
        <f t="shared" si="4"/>
        <v>#DIV/0!</v>
      </c>
      <c r="H65" s="86">
        <v>0</v>
      </c>
      <c r="I65" s="58">
        <v>0</v>
      </c>
    </row>
    <row r="66" spans="1:9" x14ac:dyDescent="0.3">
      <c r="A66" s="47" t="s">
        <v>74</v>
      </c>
      <c r="B66" s="29">
        <f>SUM(B57:B65)</f>
        <v>0</v>
      </c>
      <c r="C66" s="29">
        <f t="shared" ref="C66:E66" si="6">SUM(C57:C65)</f>
        <v>0</v>
      </c>
      <c r="D66" s="29">
        <f t="shared" si="6"/>
        <v>0</v>
      </c>
      <c r="E66" s="29">
        <f t="shared" si="6"/>
        <v>0</v>
      </c>
      <c r="F66" s="48">
        <f>SUM(F57:F65)</f>
        <v>0</v>
      </c>
      <c r="G66" s="88" t="e">
        <f>SUM(G57:G65)</f>
        <v>#DIV/0!</v>
      </c>
      <c r="H66" s="33"/>
    </row>
    <row r="67" spans="1:9" ht="28.8" x14ac:dyDescent="0.3">
      <c r="A67" s="51" t="s">
        <v>81</v>
      </c>
      <c r="B67" s="48">
        <f>SUMPRODUCT(B16:B40,I16:I40)+B44*I44+B66</f>
        <v>0</v>
      </c>
      <c r="C67" s="48">
        <f>SUMPRODUCT(C16:C40,I16:I40)+C44*I44+C66</f>
        <v>0</v>
      </c>
      <c r="D67" s="48">
        <f>SUMPRODUCT(D16:D40,I16:I40)+D44*I44+D66</f>
        <v>0</v>
      </c>
      <c r="E67" s="48">
        <f>SUMPRODUCT(E16:E40,I16:I40)+E44*I44+E66</f>
        <v>0</v>
      </c>
      <c r="F67" s="57"/>
      <c r="G67" s="46"/>
      <c r="H67" s="46"/>
      <c r="I67" s="33"/>
    </row>
    <row r="68" spans="1:9" x14ac:dyDescent="0.3">
      <c r="F68" s="22"/>
      <c r="G68" s="21"/>
      <c r="H68" s="22"/>
      <c r="I68" s="22"/>
    </row>
    <row r="69" spans="1:9" x14ac:dyDescent="0.3">
      <c r="A69" s="120" t="s">
        <v>127</v>
      </c>
      <c r="B69" s="120"/>
      <c r="C69" s="120"/>
      <c r="D69" s="120"/>
      <c r="E69" s="30">
        <f>energieBedarfGrobFutter</f>
        <v>48463.372783375315</v>
      </c>
      <c r="F69" s="94"/>
      <c r="G69" s="22"/>
      <c r="H69" s="22"/>
      <c r="I69" s="22"/>
    </row>
    <row r="70" spans="1:9" ht="15" thickBot="1" x14ac:dyDescent="0.35">
      <c r="A70" s="120" t="s">
        <v>50</v>
      </c>
      <c r="B70" s="120"/>
      <c r="C70" s="120"/>
      <c r="D70" s="120"/>
      <c r="E70" s="105">
        <f>SUMPRODUCT(F57:F65,H57:H65)*365.25</f>
        <v>0</v>
      </c>
      <c r="F70" s="100"/>
      <c r="G70" s="22"/>
      <c r="H70" s="22"/>
      <c r="I70" s="22"/>
    </row>
    <row r="71" spans="1:9" ht="15" thickBot="1" x14ac:dyDescent="0.35">
      <c r="A71" s="138" t="s">
        <v>120</v>
      </c>
      <c r="B71" s="139"/>
      <c r="C71" s="139"/>
      <c r="D71" s="139"/>
      <c r="E71" s="115">
        <f>(((energieBedarfGesamt+(E70-energieBedarfGrobFutter))/energieBedarfGesamt)-1)*100</f>
        <v>-100.00076921233789</v>
      </c>
      <c r="F71" s="22"/>
      <c r="G71" s="22"/>
      <c r="H71" s="22"/>
      <c r="I71" s="22"/>
    </row>
    <row r="75" spans="1:9" x14ac:dyDescent="0.3">
      <c r="F75" s="4"/>
    </row>
  </sheetData>
  <mergeCells count="32">
    <mergeCell ref="A71:D71"/>
    <mergeCell ref="A47:C47"/>
    <mergeCell ref="A69:D69"/>
    <mergeCell ref="J3:K3"/>
    <mergeCell ref="J4:K4"/>
    <mergeCell ref="J5:K5"/>
    <mergeCell ref="J6:K6"/>
    <mergeCell ref="J7:K8"/>
    <mergeCell ref="J11:K11"/>
    <mergeCell ref="H6:H7"/>
    <mergeCell ref="G6:G7"/>
    <mergeCell ref="A36:I36"/>
    <mergeCell ref="B43:E43"/>
    <mergeCell ref="A70:D70"/>
    <mergeCell ref="B56:E56"/>
    <mergeCell ref="E3:F3"/>
    <mergeCell ref="E4:F4"/>
    <mergeCell ref="E5:F5"/>
    <mergeCell ref="E6:F7"/>
    <mergeCell ref="A48:C48"/>
    <mergeCell ref="A49:C49"/>
    <mergeCell ref="A50:C50"/>
    <mergeCell ref="A51:C51"/>
    <mergeCell ref="B14:E14"/>
    <mergeCell ref="A52:C52"/>
    <mergeCell ref="A15:I15"/>
    <mergeCell ref="A31:I31"/>
    <mergeCell ref="J43:J44"/>
    <mergeCell ref="E8:F8"/>
    <mergeCell ref="E9:F9"/>
    <mergeCell ref="I8:I9"/>
    <mergeCell ref="A2:C2"/>
  </mergeCells>
  <dataValidations disablePrompts="1" count="1">
    <dataValidation type="list" allowBlank="1" showInputMessage="1" showErrorMessage="1" sqref="A44" xr:uid="{34AEB416-7D69-4349-B5FF-935A1BE754DD}">
      <formula1>$N$5:$N$8</formula1>
    </dataValidation>
  </dataValidations>
  <pageMargins left="0.7" right="0.7" top="0.78740157499999996" bottom="0.78740157499999996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24</vt:i4>
      </vt:variant>
    </vt:vector>
  </HeadingPairs>
  <TitlesOfParts>
    <vt:vector size="26" baseType="lpstr">
      <vt:lpstr>Tabelle1</vt:lpstr>
      <vt:lpstr>Berechnung Durchschnittsration</vt:lpstr>
      <vt:lpstr>altmelkerTage</vt:lpstr>
      <vt:lpstr>avgLebendGewicht</vt:lpstr>
      <vt:lpstr>eiweissGehalt</vt:lpstr>
      <vt:lpstr>energieBedarfErhaltung</vt:lpstr>
      <vt:lpstr>energieBedarfGesamt</vt:lpstr>
      <vt:lpstr>energieBedarfGrobFutter</vt:lpstr>
      <vt:lpstr>energieBedarfGrobFutterMitZuschlag</vt:lpstr>
      <vt:lpstr>energieBedarfLeistung</vt:lpstr>
      <vt:lpstr>energieBedarfRepro</vt:lpstr>
      <vt:lpstr>energieKraftMineralFutter</vt:lpstr>
      <vt:lpstr>energieSaftFutter</vt:lpstr>
      <vt:lpstr>fettGehalt</vt:lpstr>
      <vt:lpstr>hochLeistungsTage</vt:lpstr>
      <vt:lpstr>Konst_NEL_Biertreber</vt:lpstr>
      <vt:lpstr>Konst_NEL_Kartoffelpülpe</vt:lpstr>
      <vt:lpstr>Konst_NEL_Pressschnitzel</vt:lpstr>
      <vt:lpstr>Konst_TM_Biertreber</vt:lpstr>
      <vt:lpstr>Konst_TM_Kartoffelpülpe</vt:lpstr>
      <vt:lpstr>Konst_TM_Pressschnitzel</vt:lpstr>
      <vt:lpstr>laktationsTage</vt:lpstr>
      <vt:lpstr>milchLeistung</vt:lpstr>
      <vt:lpstr>starterTage</vt:lpstr>
      <vt:lpstr>trockenStehTage</vt:lpstr>
      <vt:lpstr>zwischenKalbeTage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Karer, Anna (LfL)</dc:creator>
  <cp:lastModifiedBy>Maurer, Lorenz (LfL)</cp:lastModifiedBy>
  <cp:lastPrinted>2021-08-25T05:45:31Z</cp:lastPrinted>
  <dcterms:created xsi:type="dcterms:W3CDTF">2015-06-05T18:19:34Z</dcterms:created>
  <dcterms:modified xsi:type="dcterms:W3CDTF">2026-05-28T09:43:35Z</dcterms:modified>
</cp:coreProperties>
</file>